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3183\OneDrive - ICF\Nursing Education\Fake CMS docs\"/>
    </mc:Choice>
  </mc:AlternateContent>
  <xr:revisionPtr revIDLastSave="28" documentId="8_{7AA94657-3D90-456A-959C-8F49AAD5E43C}" xr6:coauthVersionLast="41" xr6:coauthVersionMax="41" xr10:uidLastSave="{2841FF27-2D97-416C-A724-64611043CF29}"/>
  <bookViews>
    <workbookView xWindow="28680" yWindow="-120" windowWidth="25440" windowHeight="15390" xr2:uid="{00000000-000D-0000-FFFF-FFFF00000000}"/>
  </bookViews>
  <sheets>
    <sheet name="R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26" i="1"/>
  <c r="C11" i="1" l="1"/>
  <c r="F35" i="1" l="1"/>
  <c r="M14" i="1" s="1"/>
  <c r="O14" i="1" s="1"/>
  <c r="F14" i="1"/>
  <c r="F20" i="1"/>
  <c r="F17" i="1"/>
  <c r="F25" i="1"/>
  <c r="F32" i="1"/>
  <c r="F31" i="1"/>
  <c r="F30" i="1"/>
  <c r="F27" i="1"/>
  <c r="F22" i="1"/>
  <c r="F21" i="1"/>
  <c r="F13" i="1"/>
  <c r="F12" i="1"/>
  <c r="F10" i="1"/>
  <c r="F11" i="1" s="1"/>
  <c r="D11" i="1" s="1"/>
  <c r="V5" i="1"/>
  <c r="K7" i="1" l="1"/>
  <c r="J14" i="1" s="1"/>
  <c r="L14" i="1" s="1"/>
  <c r="W6" i="1"/>
  <c r="Y7" i="1" s="1"/>
  <c r="X8" i="1" s="1"/>
  <c r="AB5" i="1"/>
  <c r="AB7" i="1" s="1"/>
  <c r="AB8" i="1" s="1"/>
  <c r="AB6" i="1"/>
  <c r="Y6" i="1" l="1"/>
  <c r="X7" i="1" s="1"/>
  <c r="AC5" i="1"/>
  <c r="AC7" i="1" s="1"/>
  <c r="AC8" i="1" s="1"/>
  <c r="AC9" i="1" s="1"/>
  <c r="N14" i="1"/>
  <c r="P14" i="1" s="1"/>
  <c r="Q14" i="1" s="1"/>
  <c r="AC6" i="1"/>
  <c r="AC10" i="1" s="1"/>
  <c r="AB10" i="1"/>
  <c r="V6" i="1" l="1"/>
  <c r="W7" i="1" s="1"/>
  <c r="Y8" i="1" s="1"/>
  <c r="X9" i="1" s="1"/>
  <c r="AC11" i="1"/>
  <c r="K9" i="1" s="1"/>
  <c r="V7" i="1" l="1"/>
  <c r="W8" i="1" s="1"/>
  <c r="Y9" i="1" s="1"/>
  <c r="X10" i="1" s="1"/>
  <c r="K23" i="1"/>
  <c r="M23" i="1" s="1"/>
  <c r="K15" i="1"/>
  <c r="M15" i="1" s="1"/>
  <c r="K21" i="1"/>
  <c r="M21" i="1" s="1"/>
  <c r="K17" i="1"/>
  <c r="M17" i="1" s="1"/>
  <c r="K22" i="1"/>
  <c r="M22" i="1" s="1"/>
  <c r="K18" i="1"/>
  <c r="M18" i="1" s="1"/>
  <c r="K24" i="1"/>
  <c r="M24" i="1" s="1"/>
  <c r="K20" i="1"/>
  <c r="M20" i="1" s="1"/>
  <c r="K16" i="1"/>
  <c r="M16" i="1" s="1"/>
  <c r="K19" i="1"/>
  <c r="M19" i="1" s="1"/>
  <c r="V8" i="1" l="1"/>
  <c r="W9" i="1" s="1"/>
  <c r="Y10" i="1" s="1"/>
  <c r="X11" i="1" s="1"/>
  <c r="O24" i="1"/>
  <c r="O22" i="1"/>
  <c r="O16" i="1"/>
  <c r="O23" i="1"/>
  <c r="O19" i="1"/>
  <c r="O15" i="1"/>
  <c r="O20" i="1"/>
  <c r="O21" i="1"/>
  <c r="O18" i="1"/>
  <c r="O17" i="1"/>
  <c r="V9" i="1" l="1"/>
  <c r="W10" i="1" s="1"/>
  <c r="Y11" i="1" s="1"/>
  <c r="X12" i="1" s="1"/>
  <c r="V10" i="1" l="1"/>
  <c r="W11" i="1" s="1"/>
  <c r="Y12" i="1" s="1"/>
  <c r="X13" i="1" s="1"/>
  <c r="V11" i="1"/>
  <c r="W12" i="1" s="1"/>
  <c r="Y13" i="1" s="1"/>
  <c r="X14" i="1" s="1"/>
  <c r="V12" i="1" l="1"/>
  <c r="W13" i="1" s="1"/>
  <c r="Y14" i="1" s="1"/>
  <c r="X15" i="1" s="1"/>
  <c r="V13" i="1" l="1"/>
  <c r="W14" i="1" s="1"/>
  <c r="Y15" i="1" s="1"/>
  <c r="X16" i="1" s="1"/>
  <c r="V14" i="1" l="1"/>
  <c r="W15" i="1" s="1"/>
  <c r="Y16" i="1" s="1"/>
  <c r="X17" i="1" s="1"/>
  <c r="V15" i="1" l="1"/>
  <c r="W16" i="1" s="1"/>
  <c r="Y17" i="1" s="1"/>
  <c r="X18" i="1" s="1"/>
  <c r="V16" i="1" l="1"/>
  <c r="W17" i="1" s="1"/>
  <c r="Y18" i="1" s="1"/>
  <c r="X19" i="1" s="1"/>
  <c r="V17" i="1" l="1"/>
  <c r="W18" i="1" s="1"/>
  <c r="Y19" i="1" s="1"/>
  <c r="X20" i="1" s="1"/>
  <c r="V18" i="1" l="1"/>
  <c r="W19" i="1" s="1"/>
  <c r="Y20" i="1" s="1"/>
  <c r="X21" i="1" s="1"/>
  <c r="V19" i="1" l="1"/>
  <c r="W20" i="1" s="1"/>
  <c r="Y21" i="1" s="1"/>
  <c r="X22" i="1" s="1"/>
  <c r="V20" i="1" l="1"/>
  <c r="W21" i="1" s="1"/>
  <c r="Y22" i="1" s="1"/>
  <c r="X23" i="1" s="1"/>
  <c r="V21" i="1" l="1"/>
  <c r="W22" i="1" s="1"/>
  <c r="Y23" i="1" s="1"/>
  <c r="X24" i="1" s="1"/>
  <c r="V22" i="1" l="1"/>
  <c r="W23" i="1" s="1"/>
  <c r="Y24" i="1" s="1"/>
  <c r="X25" i="1" s="1"/>
  <c r="V23" i="1" l="1"/>
  <c r="W24" i="1" s="1"/>
  <c r="Y25" i="1" s="1"/>
  <c r="X26" i="1" s="1"/>
  <c r="V24" i="1" l="1"/>
  <c r="W25" i="1" s="1"/>
  <c r="Y26" i="1" s="1"/>
  <c r="X27" i="1" s="1"/>
  <c r="V25" i="1" l="1"/>
  <c r="W26" i="1" s="1"/>
  <c r="Y27" i="1" s="1"/>
  <c r="X28" i="1" s="1"/>
  <c r="V26" i="1" l="1"/>
  <c r="W27" i="1" s="1"/>
  <c r="Y28" i="1" s="1"/>
  <c r="X29" i="1" s="1"/>
  <c r="V27" i="1" l="1"/>
  <c r="W28" i="1" s="1"/>
  <c r="Y29" i="1" s="1"/>
  <c r="X30" i="1" s="1"/>
  <c r="V28" i="1" l="1"/>
  <c r="W29" i="1" s="1"/>
  <c r="Y30" i="1" s="1"/>
  <c r="X31" i="1" s="1"/>
  <c r="V29" i="1" l="1"/>
  <c r="W30" i="1" s="1"/>
  <c r="Y31" i="1" s="1"/>
  <c r="X32" i="1" s="1"/>
  <c r="V30" i="1" l="1"/>
  <c r="W31" i="1" s="1"/>
  <c r="Y32" i="1" s="1"/>
  <c r="X33" i="1" s="1"/>
  <c r="V31" i="1" l="1"/>
  <c r="W32" i="1" s="1"/>
  <c r="Y33" i="1" s="1"/>
  <c r="X34" i="1" s="1"/>
  <c r="V32" i="1" l="1"/>
  <c r="W33" i="1" s="1"/>
  <c r="Y34" i="1" s="1"/>
  <c r="X35" i="1" s="1"/>
  <c r="V33" i="1" l="1"/>
  <c r="W34" i="1" s="1"/>
  <c r="Y35" i="1" s="1"/>
  <c r="X36" i="1" s="1"/>
  <c r="V34" i="1" l="1"/>
  <c r="W35" i="1" s="1"/>
  <c r="Y36" i="1" s="1"/>
  <c r="X37" i="1" s="1"/>
  <c r="V35" i="1" l="1"/>
  <c r="W36" i="1" s="1"/>
  <c r="Y37" i="1" s="1"/>
  <c r="X38" i="1" s="1"/>
  <c r="V36" i="1" l="1"/>
  <c r="W37" i="1" s="1"/>
  <c r="Y38" i="1" s="1"/>
  <c r="X39" i="1" s="1"/>
  <c r="V37" i="1" l="1"/>
  <c r="W38" i="1" s="1"/>
  <c r="Y39" i="1" s="1"/>
  <c r="X40" i="1" s="1"/>
  <c r="V38" i="1" l="1"/>
  <c r="W39" i="1" s="1"/>
  <c r="Y40" i="1" s="1"/>
  <c r="X41" i="1" s="1"/>
  <c r="V39" i="1" l="1"/>
  <c r="W40" i="1" s="1"/>
  <c r="Y41" i="1" s="1"/>
  <c r="X42" i="1" s="1"/>
  <c r="V40" i="1" l="1"/>
  <c r="W41" i="1" s="1"/>
  <c r="Y42" i="1" s="1"/>
  <c r="X43" i="1" s="1"/>
  <c r="V41" i="1" l="1"/>
  <c r="W42" i="1" s="1"/>
  <c r="Y43" i="1" s="1"/>
  <c r="X44" i="1" s="1"/>
  <c r="V42" i="1" l="1"/>
  <c r="W43" i="1" s="1"/>
  <c r="Y44" i="1" s="1"/>
  <c r="X45" i="1" s="1"/>
  <c r="V43" i="1" l="1"/>
  <c r="W44" i="1" s="1"/>
  <c r="Y45" i="1" s="1"/>
  <c r="X46" i="1" s="1"/>
  <c r="V44" i="1" l="1"/>
  <c r="W45" i="1" s="1"/>
  <c r="Y46" i="1" s="1"/>
  <c r="X47" i="1" s="1"/>
  <c r="V45" i="1" l="1"/>
  <c r="W46" i="1" s="1"/>
  <c r="Y47" i="1" s="1"/>
  <c r="X48" i="1" s="1"/>
  <c r="V46" i="1" l="1"/>
  <c r="W47" i="1" s="1"/>
  <c r="Y48" i="1" s="1"/>
  <c r="X49" i="1" s="1"/>
  <c r="V47" i="1" l="1"/>
  <c r="W48" i="1" s="1"/>
  <c r="Y49" i="1" s="1"/>
  <c r="X50" i="1" s="1"/>
  <c r="V48" i="1" l="1"/>
  <c r="W49" i="1" s="1"/>
  <c r="Y50" i="1" s="1"/>
  <c r="X51" i="1" s="1"/>
  <c r="V49" i="1" l="1"/>
  <c r="W50" i="1" s="1"/>
  <c r="Y51" i="1" s="1"/>
  <c r="X52" i="1" s="1"/>
  <c r="V50" i="1" l="1"/>
  <c r="W51" i="1" s="1"/>
  <c r="Y52" i="1" s="1"/>
  <c r="X53" i="1" s="1"/>
  <c r="V51" i="1" l="1"/>
  <c r="W52" i="1" s="1"/>
  <c r="Y53" i="1" s="1"/>
  <c r="X54" i="1" s="1"/>
  <c r="V52" i="1" l="1"/>
  <c r="W53" i="1" s="1"/>
  <c r="Y54" i="1" s="1"/>
  <c r="X55" i="1" s="1"/>
  <c r="V53" i="1" l="1"/>
  <c r="W54" i="1" s="1"/>
  <c r="Y55" i="1" s="1"/>
  <c r="X56" i="1" s="1"/>
  <c r="V54" i="1" l="1"/>
  <c r="W55" i="1" s="1"/>
  <c r="Y56" i="1" s="1"/>
  <c r="X57" i="1" s="1"/>
  <c r="V55" i="1" l="1"/>
  <c r="W56" i="1" s="1"/>
  <c r="Y57" i="1" s="1"/>
  <c r="X58" i="1" s="1"/>
  <c r="V56" i="1" l="1"/>
  <c r="W57" i="1" s="1"/>
  <c r="Y58" i="1" s="1"/>
  <c r="X59" i="1" s="1"/>
  <c r="V57" i="1" l="1"/>
  <c r="W58" i="1" s="1"/>
  <c r="Y59" i="1" s="1"/>
  <c r="X60" i="1" s="1"/>
  <c r="V58" i="1" l="1"/>
  <c r="W59" i="1" s="1"/>
  <c r="Y60" i="1" s="1"/>
  <c r="X61" i="1" s="1"/>
  <c r="V59" i="1" l="1"/>
  <c r="W60" i="1" s="1"/>
  <c r="Y61" i="1" s="1"/>
  <c r="X62" i="1" s="1"/>
  <c r="V60" i="1" l="1"/>
  <c r="W61" i="1" s="1"/>
  <c r="Y62" i="1" s="1"/>
  <c r="X63" i="1" s="1"/>
  <c r="V61" i="1" l="1"/>
  <c r="W62" i="1" s="1"/>
  <c r="Y63" i="1" s="1"/>
  <c r="X64" i="1" s="1"/>
  <c r="V62" i="1" l="1"/>
  <c r="W63" i="1" s="1"/>
  <c r="Y64" i="1" s="1"/>
  <c r="X65" i="1" s="1"/>
  <c r="V63" i="1" l="1"/>
  <c r="W64" i="1" s="1"/>
  <c r="Y65" i="1" s="1"/>
  <c r="X66" i="1" s="1"/>
  <c r="V64" i="1" l="1"/>
  <c r="W65" i="1" s="1"/>
  <c r="Y66" i="1" s="1"/>
  <c r="X67" i="1" s="1"/>
  <c r="V65" i="1" l="1"/>
  <c r="W66" i="1" s="1"/>
  <c r="Y67" i="1" s="1"/>
  <c r="X68" i="1" s="1"/>
  <c r="V66" i="1" l="1"/>
  <c r="W67" i="1" s="1"/>
  <c r="Y68" i="1" s="1"/>
  <c r="X69" i="1" s="1"/>
  <c r="V67" i="1" l="1"/>
  <c r="W68" i="1" s="1"/>
  <c r="Y69" i="1" s="1"/>
  <c r="X70" i="1" s="1"/>
  <c r="V68" i="1" l="1"/>
  <c r="W69" i="1" s="1"/>
  <c r="Y70" i="1" s="1"/>
  <c r="X71" i="1" s="1"/>
  <c r="V69" i="1" l="1"/>
  <c r="W70" i="1" s="1"/>
  <c r="Y71" i="1" s="1"/>
  <c r="X72" i="1" s="1"/>
  <c r="V70" i="1" l="1"/>
  <c r="W71" i="1" s="1"/>
  <c r="Y72" i="1" s="1"/>
  <c r="X73" i="1" s="1"/>
  <c r="V71" i="1" l="1"/>
  <c r="W72" i="1" s="1"/>
  <c r="Y73" i="1" s="1"/>
  <c r="X74" i="1" s="1"/>
  <c r="V72" i="1" l="1"/>
  <c r="W73" i="1" s="1"/>
  <c r="Y74" i="1" s="1"/>
  <c r="X75" i="1" s="1"/>
  <c r="V73" i="1" l="1"/>
  <c r="W74" i="1" s="1"/>
  <c r="Y75" i="1" s="1"/>
  <c r="V74" i="1" l="1"/>
  <c r="W75" i="1" l="1"/>
  <c r="K8" i="1" s="1"/>
  <c r="V75" i="1" l="1"/>
  <c r="J24" i="1"/>
  <c r="L24" i="1" s="1"/>
  <c r="J19" i="1"/>
  <c r="L19" i="1" s="1"/>
  <c r="J17" i="1"/>
  <c r="L17" i="1" s="1"/>
  <c r="J20" i="1"/>
  <c r="L20" i="1" s="1"/>
  <c r="J18" i="1"/>
  <c r="L18" i="1" s="1"/>
  <c r="J22" i="1"/>
  <c r="L22" i="1" s="1"/>
  <c r="J16" i="1"/>
  <c r="L16" i="1" s="1"/>
  <c r="J15" i="1"/>
  <c r="L15" i="1" s="1"/>
  <c r="J23" i="1"/>
  <c r="L23" i="1" s="1"/>
  <c r="J21" i="1"/>
  <c r="L21" i="1" s="1"/>
  <c r="N20" i="1" l="1"/>
  <c r="R20" i="1" s="1"/>
  <c r="N19" i="1"/>
  <c r="P19" i="1" s="1"/>
  <c r="Q19" i="1" s="1"/>
  <c r="N22" i="1"/>
  <c r="R22" i="1" s="1"/>
  <c r="N17" i="1"/>
  <c r="R17" i="1" s="1"/>
  <c r="N21" i="1"/>
  <c r="P21" i="1" s="1"/>
  <c r="Q21" i="1" s="1"/>
  <c r="N15" i="1"/>
  <c r="R15" i="1" s="1"/>
  <c r="N24" i="1"/>
  <c r="R24" i="1" s="1"/>
  <c r="N23" i="1"/>
  <c r="R23" i="1" s="1"/>
  <c r="N16" i="1"/>
  <c r="R16" i="1" s="1"/>
  <c r="N18" i="1"/>
  <c r="P18" i="1" s="1"/>
  <c r="Q18" i="1" s="1"/>
  <c r="R19" i="1" l="1"/>
  <c r="R18" i="1"/>
  <c r="P20" i="1"/>
  <c r="Q20" i="1" s="1"/>
  <c r="R21" i="1"/>
  <c r="P15" i="1"/>
  <c r="Q15" i="1" s="1"/>
  <c r="P17" i="1"/>
  <c r="Q17" i="1" s="1"/>
  <c r="P22" i="1"/>
  <c r="Q22" i="1" s="1"/>
  <c r="P16" i="1"/>
  <c r="Q16" i="1" s="1"/>
  <c r="P23" i="1"/>
  <c r="Q23" i="1" s="1"/>
  <c r="P24" i="1"/>
  <c r="Q24" i="1" s="1"/>
</calcChain>
</file>

<file path=xl/sharedStrings.xml><?xml version="1.0" encoding="utf-8"?>
<sst xmlns="http://schemas.openxmlformats.org/spreadsheetml/2006/main" count="66" uniqueCount="63">
  <si>
    <t>Operating expenses</t>
  </si>
  <si>
    <t>Percent personnel expenses</t>
  </si>
  <si>
    <t>Percent non-personnel expenses</t>
  </si>
  <si>
    <t>Hospital inputs</t>
  </si>
  <si>
    <t>Staffed beds</t>
  </si>
  <si>
    <t>Occupancy rate</t>
  </si>
  <si>
    <t>Registered Nurse (RN) inputs</t>
  </si>
  <si>
    <t>RN full-time equivalents (FTEs)</t>
  </si>
  <si>
    <t>RN hourly wage</t>
  </si>
  <si>
    <t>Benefits as a percentage of cash compensation</t>
  </si>
  <si>
    <t>RN turnover rate per year</t>
  </si>
  <si>
    <t>EPIMN training inputs</t>
  </si>
  <si>
    <t>Initial training hours</t>
  </si>
  <si>
    <t>Refresher training frequency, every X years</t>
  </si>
  <si>
    <t>Refresher training hours</t>
  </si>
  <si>
    <t>Year</t>
  </si>
  <si>
    <t>Total</t>
  </si>
  <si>
    <t>Initital</t>
  </si>
  <si>
    <t>Refresher</t>
  </si>
  <si>
    <t>None</t>
  </si>
  <si>
    <t>Subsequent year</t>
  </si>
  <si>
    <t>Training costs</t>
  </si>
  <si>
    <t>Initial year</t>
  </si>
  <si>
    <t>Training impact assumptions</t>
  </si>
  <si>
    <t>Avoided percentage-point increase in RN turnover</t>
  </si>
  <si>
    <t>RN turnover cost-to-salary ratio</t>
  </si>
  <si>
    <t>Gain</t>
  </si>
  <si>
    <t>Total hospital personnel costs, 2019$</t>
  </si>
  <si>
    <t>Non-RN personnel costs</t>
  </si>
  <si>
    <t>Difference</t>
  </si>
  <si>
    <t>Total hospital non-personnel costs, 2019$</t>
  </si>
  <si>
    <t>Expected yearly gain</t>
  </si>
  <si>
    <t>Cost of capital</t>
  </si>
  <si>
    <t>Year end</t>
  </si>
  <si>
    <t>Costs</t>
  </si>
  <si>
    <t>Present value (PV) of</t>
  </si>
  <si>
    <t>Cumulative PV of</t>
  </si>
  <si>
    <t>Cumulative net gain</t>
  </si>
  <si>
    <t>Cumulative ROI</t>
  </si>
  <si>
    <t>Per annum ROI</t>
  </si>
  <si>
    <t>Cost</t>
  </si>
  <si>
    <t>Input values</t>
  </si>
  <si>
    <t>Default</t>
  </si>
  <si>
    <t>Alternative</t>
  </si>
  <si>
    <t>Computational</t>
  </si>
  <si>
    <t>Output</t>
  </si>
  <si>
    <t>Gains</t>
  </si>
  <si>
    <t>Return of investment (ROI) by year</t>
  </si>
  <si>
    <t>Distribution of training each year</t>
  </si>
  <si>
    <t>Baseline</t>
  </si>
  <si>
    <t>Impact of RN turnover on hospital cost efficiency</t>
  </si>
  <si>
    <t>Hospital costs per bed day (not charges or paid amount)</t>
  </si>
  <si>
    <t>Financial assumptions</t>
  </si>
  <si>
    <r>
      <t>Inputs</t>
    </r>
    <r>
      <rPr>
        <b/>
        <sz val="11"/>
        <color theme="1"/>
        <rFont val="Calibri"/>
        <family val="2"/>
        <scheme val="minor"/>
      </rPr>
      <t>*</t>
    </r>
  </si>
  <si>
    <t>Personnsel costs</t>
  </si>
  <si>
    <t>Non-personnel costs</t>
  </si>
  <si>
    <t>With impact</t>
  </si>
  <si>
    <t>Probability that hospital will be affected by emergency</t>
  </si>
  <si>
    <t>All dollar amounts are in 2019 dollars. Dollar amounts can be put in other year's dollars, but adjustments must be made to all entries (such as all in 2020 dollars).</t>
  </si>
  <si>
    <t>Percent of personnel expenses potentially impacted by RN    turnover (excludes RN personnel expenses)</t>
  </si>
  <si>
    <t>*Output based on default assumptions unless alternative input values are specified.</t>
  </si>
  <si>
    <t>Emergency Preparedness Information Modules for Nurses Return on Investment (EPIMN ROI) Calculator</t>
  </si>
  <si>
    <r>
      <rPr>
        <b/>
        <sz val="11"/>
        <color theme="1"/>
        <rFont val="Calibri"/>
        <family val="2"/>
        <scheme val="minor"/>
      </rPr>
      <t>Usage Notes:</t>
    </r>
    <r>
      <rPr>
        <sz val="11"/>
        <color theme="1"/>
        <rFont val="Calibri"/>
        <family val="2"/>
        <scheme val="minor"/>
      </rPr>
      <t xml:space="preserve"> For a 508 compliant version of this tool, copy and paste this link into your browser: https://files.asprtracie.hhs.gov/documents/aspr-tracie-epimn-roi-calculator.pdf. For questions, comments, or assistance with this spreadsheet, contact ASPR TRACIE at asprtracie.hhs.gov or 1-844-5-TRACIE (587-2243).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</si>
</sst>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&quot;$&quot;#,##0.00"/>
    <numFmt numFmtId="165" formatCode="&quot;$&quot;#,##0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 wrapText="1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2" fontId="0" fillId="2" borderId="0" xfId="0" applyNumberFormat="1" applyFill="1"/>
    <xf numFmtId="3" fontId="0" fillId="2" borderId="0" xfId="0" applyNumberFormat="1" applyFill="1"/>
    <xf numFmtId="10" fontId="0" fillId="2" borderId="0" xfId="0" applyNumberFormat="1" applyFill="1"/>
    <xf numFmtId="3" fontId="0" fillId="2" borderId="0" xfId="0" applyNumberFormat="1" applyFill="1" applyAlignment="1">
      <alignment horizontal="left" indent="1"/>
    </xf>
    <xf numFmtId="1" fontId="0" fillId="2" borderId="0" xfId="0" applyNumberFormat="1" applyFill="1"/>
    <xf numFmtId="3" fontId="0" fillId="2" borderId="0" xfId="0" applyNumberFormat="1" applyFill="1" applyAlignment="1">
      <alignment horizontal="left" indent="2"/>
    </xf>
    <xf numFmtId="164" fontId="0" fillId="2" borderId="0" xfId="0" applyNumberFormat="1" applyFill="1"/>
    <xf numFmtId="0" fontId="2" fillId="3" borderId="0" xfId="0" applyFont="1" applyFill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0" xfId="0" applyFill="1" applyAlignment="1">
      <alignment horizontal="left" indent="1"/>
    </xf>
    <xf numFmtId="10" fontId="0" fillId="3" borderId="0" xfId="0" applyNumberFormat="1" applyFill="1"/>
    <xf numFmtId="3" fontId="0" fillId="3" borderId="0" xfId="0" applyNumberFormat="1" applyFill="1"/>
    <xf numFmtId="165" fontId="0" fillId="3" borderId="0" xfId="0" applyNumberFormat="1" applyFill="1"/>
    <xf numFmtId="4" fontId="0" fillId="3" borderId="0" xfId="0" applyNumberFormat="1" applyFill="1"/>
    <xf numFmtId="164" fontId="0" fillId="3" borderId="0" xfId="0" applyNumberFormat="1" applyFill="1"/>
    <xf numFmtId="1" fontId="0" fillId="3" borderId="0" xfId="0" applyNumberFormat="1" applyFill="1" applyAlignment="1">
      <alignment horizontal="center"/>
    </xf>
    <xf numFmtId="5" fontId="0" fillId="3" borderId="0" xfId="0" applyNumberFormat="1" applyFill="1"/>
    <xf numFmtId="166" fontId="0" fillId="3" borderId="0" xfId="1" applyNumberFormat="1" applyFont="1" applyFill="1"/>
    <xf numFmtId="0" fontId="4" fillId="3" borderId="0" xfId="0" applyFont="1" applyFill="1"/>
    <xf numFmtId="0" fontId="0" fillId="3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165" fontId="0" fillId="2" borderId="0" xfId="0" applyNumberFormat="1" applyFont="1" applyFill="1"/>
    <xf numFmtId="1" fontId="0" fillId="3" borderId="0" xfId="0" applyNumberFormat="1" applyFill="1"/>
    <xf numFmtId="2" fontId="0" fillId="3" borderId="0" xfId="0" applyNumberFormat="1" applyFill="1"/>
    <xf numFmtId="10" fontId="0" fillId="2" borderId="0" xfId="0" applyNumberFormat="1" applyFill="1" applyProtection="1">
      <protection locked="0"/>
    </xf>
    <xf numFmtId="3" fontId="0" fillId="2" borderId="0" xfId="0" applyNumberFormat="1" applyFill="1" applyProtection="1">
      <protection locked="0"/>
    </xf>
    <xf numFmtId="165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3" borderId="0" xfId="0" applyFill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horizontal="left" wrapText="1"/>
    </xf>
    <xf numFmtId="10" fontId="0" fillId="3" borderId="0" xfId="0" applyNumberFormat="1" applyFill="1" applyAlignment="1">
      <alignment horizontal="right" vertical="center"/>
    </xf>
    <xf numFmtId="10" fontId="0" fillId="2" borderId="0" xfId="0" applyNumberFormat="1" applyFill="1" applyAlignment="1" applyProtection="1">
      <alignment horizontal="right" vertical="center"/>
      <protection locked="0"/>
    </xf>
    <xf numFmtId="10" fontId="0" fillId="2" borderId="0" xfId="0" applyNumberForma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5"/>
  <sheetViews>
    <sheetView tabSelected="1" zoomScale="85" zoomScaleNormal="85" workbookViewId="0">
      <selection activeCell="D31" sqref="D31"/>
    </sheetView>
  </sheetViews>
  <sheetFormatPr defaultColWidth="9.1796875" defaultRowHeight="14.5" x14ac:dyDescent="0.35"/>
  <cols>
    <col min="1" max="1" width="2.7265625" style="2" customWidth="1"/>
    <col min="2" max="2" width="50.7265625" style="2" customWidth="1"/>
    <col min="3" max="4" width="11.453125" style="2" customWidth="1"/>
    <col min="5" max="5" width="2.08984375" style="2" customWidth="1"/>
    <col min="6" max="6" width="0.26953125" style="2" hidden="1" customWidth="1"/>
    <col min="7" max="8" width="2.7265625" style="2" customWidth="1"/>
    <col min="9" max="18" width="11.1796875" style="2" customWidth="1"/>
    <col min="19" max="20" width="2.7265625" style="2" customWidth="1"/>
    <col min="21" max="23" width="9.1796875" style="2" hidden="1" customWidth="1"/>
    <col min="24" max="24" width="10.1796875" style="2" hidden="1" customWidth="1"/>
    <col min="25" max="26" width="9.1796875" style="2" hidden="1" customWidth="1"/>
    <col min="27" max="27" width="38.453125" style="2" hidden="1" customWidth="1"/>
    <col min="28" max="28" width="12.7265625" style="2" hidden="1" customWidth="1"/>
    <col min="29" max="29" width="14" style="2" hidden="1" customWidth="1"/>
    <col min="30" max="16384" width="9.1796875" style="2"/>
  </cols>
  <sheetData>
    <row r="1" spans="1:29" ht="26" x14ac:dyDescent="0.6">
      <c r="A1" s="1" t="s">
        <v>61</v>
      </c>
    </row>
    <row r="2" spans="1:29" x14ac:dyDescent="0.35">
      <c r="A2" s="2" t="s">
        <v>58</v>
      </c>
      <c r="U2" s="2" t="s">
        <v>48</v>
      </c>
      <c r="AA2" s="2" t="s">
        <v>50</v>
      </c>
    </row>
    <row r="4" spans="1:29" ht="18.5" x14ac:dyDescent="0.45">
      <c r="A4" s="17"/>
      <c r="B4" s="16" t="s">
        <v>53</v>
      </c>
      <c r="C4" s="17"/>
      <c r="D4" s="17"/>
      <c r="E4" s="17"/>
      <c r="H4" s="17"/>
      <c r="I4" s="16" t="s">
        <v>45</v>
      </c>
      <c r="J4" s="17"/>
      <c r="K4" s="17"/>
      <c r="L4" s="17"/>
      <c r="M4" s="17"/>
      <c r="N4" s="17"/>
      <c r="O4" s="17"/>
      <c r="P4" s="17"/>
      <c r="Q4" s="17"/>
      <c r="R4" s="17"/>
      <c r="S4" s="17"/>
      <c r="U4" s="3" t="s">
        <v>15</v>
      </c>
      <c r="V4" s="4" t="s">
        <v>16</v>
      </c>
      <c r="W4" s="4" t="s">
        <v>17</v>
      </c>
      <c r="X4" s="4" t="s">
        <v>18</v>
      </c>
      <c r="Y4" s="4" t="s">
        <v>19</v>
      </c>
      <c r="AA4" s="5"/>
      <c r="AB4" s="4" t="s">
        <v>49</v>
      </c>
      <c r="AC4" s="6" t="s">
        <v>56</v>
      </c>
    </row>
    <row r="5" spans="1:29" s="33" customFormat="1" x14ac:dyDescent="0.35">
      <c r="A5" s="32"/>
      <c r="B5" s="32" t="s">
        <v>60</v>
      </c>
      <c r="C5" s="32"/>
      <c r="D5" s="32"/>
      <c r="E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U5" s="34">
        <v>0</v>
      </c>
      <c r="V5" s="35">
        <f>C17</f>
        <v>273.54267311000001</v>
      </c>
      <c r="AA5" s="33" t="s">
        <v>54</v>
      </c>
      <c r="AB5" s="36">
        <f>F14*F10</f>
        <v>1427.6172689570001</v>
      </c>
      <c r="AC5" s="36">
        <f>AB5*(1+0.11%)^((F31/100)/1%)</f>
        <v>1431.7365974666006</v>
      </c>
    </row>
    <row r="6" spans="1:29" x14ac:dyDescent="0.35">
      <c r="A6" s="17"/>
      <c r="B6" s="17"/>
      <c r="C6" s="47" t="s">
        <v>41</v>
      </c>
      <c r="D6" s="47"/>
      <c r="E6" s="18"/>
      <c r="H6" s="17"/>
      <c r="I6" s="17" t="s">
        <v>21</v>
      </c>
      <c r="J6" s="17"/>
      <c r="K6" s="17"/>
      <c r="L6" s="17"/>
      <c r="M6" s="17"/>
      <c r="N6" s="17"/>
      <c r="O6" s="17"/>
      <c r="P6" s="17"/>
      <c r="Q6" s="17"/>
      <c r="R6" s="17"/>
      <c r="S6" s="17"/>
      <c r="U6" s="7">
        <v>1</v>
      </c>
      <c r="V6" s="9">
        <f>SUM(W6:Y6)</f>
        <v>273.54267311000001</v>
      </c>
      <c r="W6" s="9">
        <f t="shared" ref="W6:W12" si="0">V5*$F$22</f>
        <v>44.970415459283998</v>
      </c>
      <c r="X6" s="9">
        <v>0</v>
      </c>
      <c r="Y6" s="9">
        <f>V5-W6-X6</f>
        <v>228.57225765071601</v>
      </c>
      <c r="AA6" s="10" t="s">
        <v>55</v>
      </c>
      <c r="AB6" s="8">
        <f>F14*F11</f>
        <v>1168.050492783</v>
      </c>
      <c r="AC6" s="8">
        <f>AB6*(1+0.17%)^((F31/100)/1%)</f>
        <v>1173.2617624009492</v>
      </c>
    </row>
    <row r="7" spans="1:29" x14ac:dyDescent="0.35">
      <c r="A7" s="23"/>
      <c r="B7" s="19"/>
      <c r="C7" s="20" t="s">
        <v>42</v>
      </c>
      <c r="D7" s="20" t="s">
        <v>43</v>
      </c>
      <c r="E7" s="21"/>
      <c r="F7" s="4" t="s">
        <v>44</v>
      </c>
      <c r="G7" s="11"/>
      <c r="H7" s="23"/>
      <c r="I7" s="22" t="s">
        <v>22</v>
      </c>
      <c r="J7" s="17"/>
      <c r="K7" s="25">
        <f>F25*F17*F20*(1+F21)</f>
        <v>19905.887721513052</v>
      </c>
      <c r="L7" s="17"/>
      <c r="M7" s="17"/>
      <c r="N7" s="17"/>
      <c r="O7" s="17"/>
      <c r="P7" s="17"/>
      <c r="Q7" s="17"/>
      <c r="R7" s="17"/>
      <c r="S7" s="23"/>
      <c r="T7" s="11"/>
      <c r="U7" s="7">
        <v>2</v>
      </c>
      <c r="V7" s="9">
        <f>SUM(W7:Y7)</f>
        <v>273.54267311000001</v>
      </c>
      <c r="W7" s="9">
        <f t="shared" si="0"/>
        <v>44.970415459283998</v>
      </c>
      <c r="X7" s="9">
        <f t="shared" ref="X7:X12" si="1">Y6*(1-$F$22)</f>
        <v>190.99497849293829</v>
      </c>
      <c r="Y7" s="9">
        <f t="shared" ref="Y7:Y12" si="2">(W6+X6)*(1-$F$22)</f>
        <v>37.57727915777771</v>
      </c>
      <c r="AA7" s="10" t="s">
        <v>27</v>
      </c>
      <c r="AB7" s="8">
        <f>AB5*F12*F13*365</f>
        <v>51179816.378457047</v>
      </c>
      <c r="AC7" s="8">
        <f>AC5*F12*F13*365</f>
        <v>51327493.54747723</v>
      </c>
    </row>
    <row r="8" spans="1:29" x14ac:dyDescent="0.35">
      <c r="A8" s="23"/>
      <c r="B8" s="31" t="s">
        <v>3</v>
      </c>
      <c r="C8" s="17"/>
      <c r="D8" s="17"/>
      <c r="E8" s="17"/>
      <c r="G8" s="11"/>
      <c r="H8" s="23"/>
      <c r="I8" s="22" t="s">
        <v>20</v>
      </c>
      <c r="J8" s="17"/>
      <c r="K8" s="25">
        <f>(F25*W75*F20*(1+F21))+(F27*X75*F20*(1+F21))</f>
        <v>7058.4543664700432</v>
      </c>
      <c r="L8" s="17"/>
      <c r="M8" s="17"/>
      <c r="N8" s="17"/>
      <c r="O8" s="17"/>
      <c r="P8" s="17"/>
      <c r="Q8" s="17"/>
      <c r="R8" s="17"/>
      <c r="S8" s="23"/>
      <c r="T8" s="11"/>
      <c r="U8" s="7">
        <v>3</v>
      </c>
      <c r="V8" s="9">
        <f t="shared" ref="V8:V71" si="3">SUM(W8:Y8)</f>
        <v>273.54267311000001</v>
      </c>
      <c r="W8" s="9">
        <f t="shared" si="0"/>
        <v>44.970415459283998</v>
      </c>
      <c r="X8" s="9">
        <f t="shared" si="1"/>
        <v>31.399574464239056</v>
      </c>
      <c r="Y8" s="9">
        <f t="shared" si="2"/>
        <v>197.17268318647695</v>
      </c>
      <c r="AA8" s="12" t="s">
        <v>28</v>
      </c>
      <c r="AB8" s="8">
        <f>AB7*F18</f>
        <v>20359407.121152949</v>
      </c>
      <c r="AC8" s="8">
        <f>AC7*F18</f>
        <v>20418153.31876234</v>
      </c>
    </row>
    <row r="9" spans="1:29" x14ac:dyDescent="0.35">
      <c r="A9" s="37"/>
      <c r="B9" s="17" t="s">
        <v>0</v>
      </c>
      <c r="C9" s="17"/>
      <c r="D9" s="17"/>
      <c r="E9" s="17"/>
      <c r="G9" s="13"/>
      <c r="H9" s="37"/>
      <c r="I9" s="17" t="s">
        <v>31</v>
      </c>
      <c r="J9" s="17"/>
      <c r="K9" s="25">
        <f>(F30*(F31/100)*(F20*2080)*F32*F17)+((AC9+AC11)*F30)</f>
        <v>13275.172103967947</v>
      </c>
      <c r="L9" s="17"/>
      <c r="M9" s="17"/>
      <c r="N9" s="17"/>
      <c r="O9" s="17"/>
      <c r="P9" s="17"/>
      <c r="Q9" s="17"/>
      <c r="R9" s="17"/>
      <c r="S9" s="37"/>
      <c r="T9" s="13"/>
      <c r="U9" s="7">
        <v>4</v>
      </c>
      <c r="V9" s="9">
        <f t="shared" si="3"/>
        <v>273.54267311000001</v>
      </c>
      <c r="W9" s="9">
        <f t="shared" si="0"/>
        <v>44.970415459283998</v>
      </c>
      <c r="X9" s="9">
        <f t="shared" si="1"/>
        <v>164.75749407062014</v>
      </c>
      <c r="Y9" s="9">
        <f t="shared" si="2"/>
        <v>63.814763580095864</v>
      </c>
      <c r="AA9" s="14" t="s">
        <v>29</v>
      </c>
      <c r="AB9" s="8"/>
      <c r="AC9" s="8">
        <f>AC8-AB8</f>
        <v>58746.197609391063</v>
      </c>
    </row>
    <row r="10" spans="1:29" x14ac:dyDescent="0.35">
      <c r="A10" s="23"/>
      <c r="B10" s="22" t="s">
        <v>1</v>
      </c>
      <c r="C10" s="23">
        <v>0.55000000000000004</v>
      </c>
      <c r="D10" s="39"/>
      <c r="E10" s="23"/>
      <c r="F10" s="11">
        <f>IF(D10=0,C10,D10)</f>
        <v>0.55000000000000004</v>
      </c>
      <c r="G10" s="11"/>
      <c r="H10" s="23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3"/>
      <c r="T10" s="11"/>
      <c r="U10" s="7">
        <v>5</v>
      </c>
      <c r="V10" s="9">
        <f t="shared" si="3"/>
        <v>273.54267311000001</v>
      </c>
      <c r="W10" s="9">
        <f t="shared" si="0"/>
        <v>44.970415459283998</v>
      </c>
      <c r="X10" s="9">
        <f t="shared" si="1"/>
        <v>53.323616447528103</v>
      </c>
      <c r="Y10" s="9">
        <f t="shared" si="2"/>
        <v>175.2486412031879</v>
      </c>
      <c r="AA10" s="10" t="s">
        <v>30</v>
      </c>
      <c r="AB10" s="8">
        <f>AB6*F12*F13*365</f>
        <v>41874395.21873758</v>
      </c>
      <c r="AC10" s="8">
        <f>AC6*F12*F13*365</f>
        <v>42061218.275550373</v>
      </c>
    </row>
    <row r="11" spans="1:29" x14ac:dyDescent="0.35">
      <c r="A11" s="25"/>
      <c r="B11" s="22" t="s">
        <v>2</v>
      </c>
      <c r="C11" s="23">
        <f>1-C10</f>
        <v>0.44999999999999996</v>
      </c>
      <c r="D11" s="23">
        <f>F11</f>
        <v>0.44999999999999996</v>
      </c>
      <c r="E11" s="23"/>
      <c r="F11" s="23">
        <f>1-F10</f>
        <v>0.44999999999999996</v>
      </c>
      <c r="G11" s="8"/>
      <c r="H11" s="25"/>
      <c r="I11" s="17" t="s">
        <v>47</v>
      </c>
      <c r="J11" s="17"/>
      <c r="K11" s="17"/>
      <c r="L11" s="17"/>
      <c r="M11" s="17"/>
      <c r="N11" s="17"/>
      <c r="O11" s="17"/>
      <c r="P11" s="17"/>
      <c r="Q11" s="17"/>
      <c r="R11" s="17"/>
      <c r="S11" s="25"/>
      <c r="T11" s="8"/>
      <c r="U11" s="7">
        <v>6</v>
      </c>
      <c r="V11" s="9">
        <f t="shared" si="3"/>
        <v>273.54267311000001</v>
      </c>
      <c r="W11" s="9">
        <f t="shared" si="0"/>
        <v>44.970415459283998</v>
      </c>
      <c r="X11" s="9">
        <f t="shared" si="1"/>
        <v>146.43776458938382</v>
      </c>
      <c r="Y11" s="9">
        <f t="shared" si="2"/>
        <v>82.134493061332194</v>
      </c>
      <c r="AA11" s="12" t="s">
        <v>29</v>
      </c>
      <c r="AB11" s="8"/>
      <c r="AC11" s="8">
        <f>AC10-AB10</f>
        <v>186823.05681279302</v>
      </c>
    </row>
    <row r="12" spans="1:29" x14ac:dyDescent="0.35">
      <c r="A12" s="23"/>
      <c r="B12" s="17" t="s">
        <v>4</v>
      </c>
      <c r="C12" s="24">
        <v>149.95217391</v>
      </c>
      <c r="D12" s="40"/>
      <c r="E12" s="24"/>
      <c r="F12" s="13">
        <f>IF(D12=0,C12,D12)</f>
        <v>149.95217391</v>
      </c>
      <c r="G12" s="11"/>
      <c r="H12" s="23"/>
      <c r="I12" s="48" t="s">
        <v>33</v>
      </c>
      <c r="J12" s="45" t="s">
        <v>34</v>
      </c>
      <c r="K12" s="45" t="s">
        <v>46</v>
      </c>
      <c r="L12" s="47" t="s">
        <v>35</v>
      </c>
      <c r="M12" s="47"/>
      <c r="N12" s="47" t="s">
        <v>36</v>
      </c>
      <c r="O12" s="47"/>
      <c r="P12" s="45" t="s">
        <v>37</v>
      </c>
      <c r="Q12" s="45" t="s">
        <v>38</v>
      </c>
      <c r="R12" s="45" t="s">
        <v>39</v>
      </c>
      <c r="S12" s="23"/>
      <c r="T12" s="11"/>
      <c r="U12" s="7">
        <v>7</v>
      </c>
      <c r="V12" s="9">
        <f t="shared" si="3"/>
        <v>273.54267311000001</v>
      </c>
      <c r="W12" s="9">
        <f t="shared" si="0"/>
        <v>44.970415459283998</v>
      </c>
      <c r="X12" s="9">
        <f t="shared" si="1"/>
        <v>68.631582402049176</v>
      </c>
      <c r="Y12" s="9">
        <f t="shared" si="2"/>
        <v>159.94067524866682</v>
      </c>
    </row>
    <row r="13" spans="1:29" x14ac:dyDescent="0.35">
      <c r="A13" s="23"/>
      <c r="B13" s="17" t="s">
        <v>5</v>
      </c>
      <c r="C13" s="23">
        <v>0.65500000000000003</v>
      </c>
      <c r="D13" s="39"/>
      <c r="E13" s="23"/>
      <c r="F13" s="11">
        <f>IF(D13=0,C13,D13)</f>
        <v>0.65500000000000003</v>
      </c>
      <c r="G13" s="11"/>
      <c r="H13" s="23"/>
      <c r="I13" s="47"/>
      <c r="J13" s="46"/>
      <c r="K13" s="46"/>
      <c r="L13" s="20" t="s">
        <v>40</v>
      </c>
      <c r="M13" s="20" t="s">
        <v>26</v>
      </c>
      <c r="N13" s="20" t="s">
        <v>40</v>
      </c>
      <c r="O13" s="20" t="s">
        <v>26</v>
      </c>
      <c r="P13" s="46"/>
      <c r="Q13" s="46"/>
      <c r="R13" s="46"/>
      <c r="S13" s="23"/>
      <c r="T13" s="11"/>
      <c r="U13" s="7">
        <v>8</v>
      </c>
      <c r="V13" s="9">
        <f t="shared" si="3"/>
        <v>273.54267311000001</v>
      </c>
      <c r="W13" s="9">
        <f t="shared" ref="W13:W75" si="4">V12*$F$22</f>
        <v>44.970415459283998</v>
      </c>
      <c r="X13" s="9">
        <f t="shared" ref="X13:X75" si="5">Y12*(1-$F$22)</f>
        <v>133.64642823778598</v>
      </c>
      <c r="Y13" s="9">
        <f t="shared" ref="Y13:Y31" si="6">(W12+X12)*(1-$F$22)</f>
        <v>94.92582941293</v>
      </c>
    </row>
    <row r="14" spans="1:29" x14ac:dyDescent="0.35">
      <c r="A14" s="38"/>
      <c r="B14" s="17" t="s">
        <v>51</v>
      </c>
      <c r="C14" s="25">
        <v>2595.6677617400001</v>
      </c>
      <c r="D14" s="41"/>
      <c r="E14" s="25"/>
      <c r="F14" s="8">
        <f>IF(D14=0,C14,D14)</f>
        <v>2595.6677617400001</v>
      </c>
      <c r="G14" s="9"/>
      <c r="H14" s="38"/>
      <c r="I14" s="28">
        <v>0</v>
      </c>
      <c r="J14" s="29">
        <f>K7</f>
        <v>19905.887721513052</v>
      </c>
      <c r="K14" s="29"/>
      <c r="L14" s="29">
        <f t="shared" ref="L14:L24" si="7">J14/(1+$F$35)^$I14</f>
        <v>19905.887721513052</v>
      </c>
      <c r="M14" s="29">
        <f t="shared" ref="M14:M24" si="8">K14/(1+$F$35)^($I14-0.5)</f>
        <v>0</v>
      </c>
      <c r="N14" s="29">
        <f>SUM(L$14:L14)</f>
        <v>19905.887721513052</v>
      </c>
      <c r="O14" s="29">
        <f>SUM(M$14:M14)</f>
        <v>0</v>
      </c>
      <c r="P14" s="29">
        <f t="shared" ref="P14:P24" si="9">O14-N14</f>
        <v>-19905.887721513052</v>
      </c>
      <c r="Q14" s="30">
        <f t="shared" ref="Q14:Q24" si="10">P14/N14</f>
        <v>-1</v>
      </c>
      <c r="R14" s="30"/>
      <c r="S14" s="38"/>
      <c r="T14" s="9"/>
      <c r="U14" s="7">
        <v>9</v>
      </c>
      <c r="V14" s="9">
        <f t="shared" si="3"/>
        <v>273.54267311000001</v>
      </c>
      <c r="W14" s="9">
        <f t="shared" si="4"/>
        <v>44.970415459283998</v>
      </c>
      <c r="X14" s="9">
        <f t="shared" si="5"/>
        <v>79.320023057444303</v>
      </c>
      <c r="Y14" s="9">
        <f t="shared" si="6"/>
        <v>149.25223459327168</v>
      </c>
    </row>
    <row r="15" spans="1:29" x14ac:dyDescent="0.35">
      <c r="A15" s="23"/>
      <c r="B15" s="17"/>
      <c r="C15" s="23"/>
      <c r="D15" s="23"/>
      <c r="E15" s="23"/>
      <c r="F15" s="11"/>
      <c r="G15" s="11"/>
      <c r="H15" s="23"/>
      <c r="I15" s="28">
        <v>1</v>
      </c>
      <c r="J15" s="29">
        <f t="shared" ref="J15:J24" si="11">K$8</f>
        <v>7058.4543664700432</v>
      </c>
      <c r="K15" s="29">
        <f t="shared" ref="K15:K24" si="12">K$9</f>
        <v>13275.172103967947</v>
      </c>
      <c r="L15" s="29">
        <f t="shared" si="7"/>
        <v>6665.6151013350163</v>
      </c>
      <c r="M15" s="29">
        <f t="shared" si="8"/>
        <v>12900.46814147855</v>
      </c>
      <c r="N15" s="29">
        <f>SUM(L$14:L15)</f>
        <v>26571.50282284807</v>
      </c>
      <c r="O15" s="29">
        <f>SUM(M$14:M15)</f>
        <v>12900.46814147855</v>
      </c>
      <c r="P15" s="29">
        <f t="shared" si="9"/>
        <v>-13671.03468136952</v>
      </c>
      <c r="Q15" s="30">
        <f t="shared" si="10"/>
        <v>-0.51449986749015153</v>
      </c>
      <c r="R15" s="30">
        <f t="shared" ref="R15:R24" si="13">(O15/N15)^(1/I15)-1</f>
        <v>-0.51449986749015153</v>
      </c>
      <c r="S15" s="23"/>
      <c r="T15" s="11"/>
      <c r="U15" s="7">
        <v>10</v>
      </c>
      <c r="V15" s="9">
        <f t="shared" si="3"/>
        <v>273.54267311000001</v>
      </c>
      <c r="W15" s="9">
        <f t="shared" si="4"/>
        <v>44.970415459283998</v>
      </c>
      <c r="X15" s="9">
        <f t="shared" si="5"/>
        <v>124.71516722613782</v>
      </c>
      <c r="Y15" s="9">
        <f t="shared" si="6"/>
        <v>103.85709042457817</v>
      </c>
    </row>
    <row r="16" spans="1:29" x14ac:dyDescent="0.35">
      <c r="A16" s="27"/>
      <c r="B16" s="31" t="s">
        <v>6</v>
      </c>
      <c r="C16" s="23"/>
      <c r="D16" s="23"/>
      <c r="E16" s="23"/>
      <c r="F16" s="11"/>
      <c r="G16" s="15"/>
      <c r="H16" s="27"/>
      <c r="I16" s="28">
        <v>2</v>
      </c>
      <c r="J16" s="29">
        <f t="shared" si="11"/>
        <v>7058.4543664700432</v>
      </c>
      <c r="K16" s="29">
        <f t="shared" si="12"/>
        <v>13275.172103967947</v>
      </c>
      <c r="L16" s="29">
        <f t="shared" si="7"/>
        <v>6294.6393604532477</v>
      </c>
      <c r="M16" s="29">
        <f t="shared" si="8"/>
        <v>12182.490782487606</v>
      </c>
      <c r="N16" s="29">
        <f>SUM(L$14:L16)</f>
        <v>32866.142183301316</v>
      </c>
      <c r="O16" s="29">
        <f>SUM(M$14:M16)</f>
        <v>25082.958923966158</v>
      </c>
      <c r="P16" s="29">
        <f t="shared" si="9"/>
        <v>-7783.1832593351573</v>
      </c>
      <c r="Q16" s="30">
        <f t="shared" si="10"/>
        <v>-0.23681462874245246</v>
      </c>
      <c r="R16" s="30">
        <f t="shared" si="13"/>
        <v>-0.12639518587776344</v>
      </c>
      <c r="S16" s="27"/>
      <c r="T16" s="15"/>
      <c r="U16" s="7">
        <v>11</v>
      </c>
      <c r="V16" s="9">
        <f t="shared" si="3"/>
        <v>273.54267311000001</v>
      </c>
      <c r="W16" s="9">
        <f t="shared" si="4"/>
        <v>44.970415459283998</v>
      </c>
      <c r="X16" s="9">
        <f t="shared" si="5"/>
        <v>86.78298475877753</v>
      </c>
      <c r="Y16" s="9">
        <f t="shared" si="6"/>
        <v>141.78927289193848</v>
      </c>
    </row>
    <row r="17" spans="1:25" x14ac:dyDescent="0.35">
      <c r="A17" s="23"/>
      <c r="B17" s="17" t="s">
        <v>7</v>
      </c>
      <c r="C17" s="26">
        <v>273.54267311000001</v>
      </c>
      <c r="D17" s="42"/>
      <c r="E17" s="26"/>
      <c r="F17" s="9">
        <f>IF(D17=0,C17,D17)</f>
        <v>273.54267311000001</v>
      </c>
      <c r="G17" s="11"/>
      <c r="H17" s="23"/>
      <c r="I17" s="28">
        <v>3</v>
      </c>
      <c r="J17" s="29">
        <f t="shared" si="11"/>
        <v>7058.4543664700432</v>
      </c>
      <c r="K17" s="29">
        <f t="shared" si="12"/>
        <v>13275.172103967947</v>
      </c>
      <c r="L17" s="29">
        <f t="shared" si="7"/>
        <v>5944.31032632405</v>
      </c>
      <c r="M17" s="29">
        <f t="shared" si="8"/>
        <v>11504.472553845286</v>
      </c>
      <c r="N17" s="29">
        <f>SUM(L$14:L17)</f>
        <v>38810.452509625364</v>
      </c>
      <c r="O17" s="29">
        <f>SUM(M$14:M17)</f>
        <v>36587.431477811442</v>
      </c>
      <c r="P17" s="29">
        <f t="shared" si="9"/>
        <v>-2223.0210318139216</v>
      </c>
      <c r="Q17" s="30">
        <f t="shared" si="10"/>
        <v>-5.7278925857991249E-2</v>
      </c>
      <c r="R17" s="30">
        <f t="shared" si="13"/>
        <v>-1.9469579745738708E-2</v>
      </c>
      <c r="S17" s="23"/>
      <c r="T17" s="11"/>
      <c r="U17" s="7">
        <v>12</v>
      </c>
      <c r="V17" s="9">
        <f t="shared" si="3"/>
        <v>273.54267311000001</v>
      </c>
      <c r="W17" s="9">
        <f t="shared" si="4"/>
        <v>44.970415459283998</v>
      </c>
      <c r="X17" s="9">
        <f t="shared" si="5"/>
        <v>118.4791164285038</v>
      </c>
      <c r="Y17" s="9">
        <f t="shared" si="6"/>
        <v>110.09314122221221</v>
      </c>
    </row>
    <row r="18" spans="1:25" x14ac:dyDescent="0.35">
      <c r="A18" s="23"/>
      <c r="B18" s="50" t="s">
        <v>59</v>
      </c>
      <c r="C18" s="51">
        <v>0.3978014882</v>
      </c>
      <c r="D18" s="52"/>
      <c r="E18" s="26"/>
      <c r="F18" s="53">
        <f>IF(D18=0,C18,D18)</f>
        <v>0.3978014882</v>
      </c>
      <c r="G18" s="11"/>
      <c r="H18" s="23"/>
      <c r="I18" s="28">
        <v>4</v>
      </c>
      <c r="J18" s="29">
        <f t="shared" si="11"/>
        <v>7058.4543664700432</v>
      </c>
      <c r="K18" s="29">
        <f t="shared" si="12"/>
        <v>13275.172103967947</v>
      </c>
      <c r="L18" s="29">
        <f t="shared" si="7"/>
        <v>5613.4789035949534</v>
      </c>
      <c r="M18" s="29">
        <f t="shared" si="8"/>
        <v>10864.189524562371</v>
      </c>
      <c r="N18" s="29">
        <f>SUM(L$14:L18)</f>
        <v>44423.931413220314</v>
      </c>
      <c r="O18" s="29">
        <f>SUM(M$14:M18)</f>
        <v>47451.621002373809</v>
      </c>
      <c r="P18" s="29">
        <f t="shared" si="9"/>
        <v>3027.689589153495</v>
      </c>
      <c r="Q18" s="30">
        <f>P18/N18</f>
        <v>6.815447198922317E-2</v>
      </c>
      <c r="R18" s="30">
        <f t="shared" si="13"/>
        <v>1.6619687323251364E-2</v>
      </c>
      <c r="S18" s="23"/>
      <c r="T18" s="11"/>
      <c r="U18" s="7">
        <v>13</v>
      </c>
      <c r="V18" s="9">
        <f t="shared" si="3"/>
        <v>273.54267311000001</v>
      </c>
      <c r="W18" s="9">
        <f t="shared" si="4"/>
        <v>44.970415459283998</v>
      </c>
      <c r="X18" s="9">
        <f t="shared" si="5"/>
        <v>91.993828805280529</v>
      </c>
      <c r="Y18" s="9">
        <f t="shared" si="6"/>
        <v>136.5784288454355</v>
      </c>
    </row>
    <row r="19" spans="1:25" x14ac:dyDescent="0.35">
      <c r="A19" s="17"/>
      <c r="B19" s="50"/>
      <c r="C19" s="51"/>
      <c r="D19" s="52"/>
      <c r="E19" s="23"/>
      <c r="F19" s="53"/>
      <c r="H19" s="17"/>
      <c r="I19" s="28">
        <v>5</v>
      </c>
      <c r="J19" s="29">
        <f t="shared" si="11"/>
        <v>7058.4543664700432</v>
      </c>
      <c r="K19" s="29">
        <f t="shared" si="12"/>
        <v>13275.172103967947</v>
      </c>
      <c r="L19" s="29">
        <f t="shared" si="7"/>
        <v>5301.0599499760692</v>
      </c>
      <c r="M19" s="29">
        <f t="shared" si="8"/>
        <v>10259.541536839937</v>
      </c>
      <c r="N19" s="29">
        <f>SUM(L$14:L19)</f>
        <v>49724.991363196386</v>
      </c>
      <c r="O19" s="29">
        <f>SUM(M$14:M19)</f>
        <v>57711.16253921375</v>
      </c>
      <c r="P19" s="29">
        <f t="shared" si="9"/>
        <v>7986.1711760173639</v>
      </c>
      <c r="Q19" s="30">
        <f t="shared" si="10"/>
        <v>0.16060678860023442</v>
      </c>
      <c r="R19" s="30">
        <f t="shared" si="13"/>
        <v>3.0236711053620358E-2</v>
      </c>
      <c r="S19" s="17"/>
      <c r="U19" s="7">
        <v>14</v>
      </c>
      <c r="V19" s="9">
        <f t="shared" si="3"/>
        <v>273.54267311000001</v>
      </c>
      <c r="W19" s="9">
        <f t="shared" si="4"/>
        <v>44.970415459283998</v>
      </c>
      <c r="X19" s="9">
        <f t="shared" si="5"/>
        <v>114.12493514324591</v>
      </c>
      <c r="Y19" s="9">
        <f t="shared" si="6"/>
        <v>114.4473225074701</v>
      </c>
    </row>
    <row r="20" spans="1:25" x14ac:dyDescent="0.35">
      <c r="A20" s="17"/>
      <c r="B20" s="17" t="s">
        <v>8</v>
      </c>
      <c r="C20" s="27">
        <v>38.154769999999999</v>
      </c>
      <c r="D20" s="43"/>
      <c r="E20" s="27"/>
      <c r="F20" s="15">
        <f>IF(D20=0,C20,D20)</f>
        <v>38.154769999999999</v>
      </c>
      <c r="H20" s="17"/>
      <c r="I20" s="28">
        <v>6</v>
      </c>
      <c r="J20" s="29">
        <f t="shared" si="11"/>
        <v>7058.4543664700432</v>
      </c>
      <c r="K20" s="29">
        <f t="shared" si="12"/>
        <v>13275.172103967947</v>
      </c>
      <c r="L20" s="29">
        <f t="shared" si="7"/>
        <v>5006.0287169234471</v>
      </c>
      <c r="M20" s="29">
        <f t="shared" si="8"/>
        <v>9688.5453174551421</v>
      </c>
      <c r="N20" s="29">
        <f>SUM(L$14:L20)</f>
        <v>54731.020080119837</v>
      </c>
      <c r="O20" s="29">
        <f>SUM(M$14:M20)</f>
        <v>67399.707856668887</v>
      </c>
      <c r="P20" s="29">
        <f t="shared" si="9"/>
        <v>12668.68777654905</v>
      </c>
      <c r="Q20" s="30">
        <f t="shared" si="10"/>
        <v>0.23147180078141366</v>
      </c>
      <c r="R20" s="30">
        <f t="shared" si="13"/>
        <v>3.5310801911951462E-2</v>
      </c>
      <c r="S20" s="17"/>
      <c r="U20" s="7">
        <v>15</v>
      </c>
      <c r="V20" s="9">
        <f t="shared" si="3"/>
        <v>273.54267311000001</v>
      </c>
      <c r="W20" s="9">
        <f t="shared" si="4"/>
        <v>44.970415459283998</v>
      </c>
      <c r="X20" s="9">
        <f t="shared" si="5"/>
        <v>95.632182687242022</v>
      </c>
      <c r="Y20" s="9">
        <f t="shared" si="6"/>
        <v>132.94007496347399</v>
      </c>
    </row>
    <row r="21" spans="1:25" x14ac:dyDescent="0.35">
      <c r="A21" s="38"/>
      <c r="B21" s="17" t="s">
        <v>9</v>
      </c>
      <c r="C21" s="23">
        <v>0.27149999999999996</v>
      </c>
      <c r="D21" s="39"/>
      <c r="E21" s="23"/>
      <c r="F21" s="11">
        <f>IF(D21=0,C21,D21)</f>
        <v>0.27149999999999996</v>
      </c>
      <c r="G21" s="9"/>
      <c r="H21" s="38"/>
      <c r="I21" s="28">
        <v>7</v>
      </c>
      <c r="J21" s="29">
        <f t="shared" si="11"/>
        <v>7058.4543664700432</v>
      </c>
      <c r="K21" s="29">
        <f t="shared" si="12"/>
        <v>13275.172103967947</v>
      </c>
      <c r="L21" s="29">
        <f t="shared" si="7"/>
        <v>4727.4174884166978</v>
      </c>
      <c r="M21" s="29">
        <f t="shared" si="8"/>
        <v>9149.3279725337925</v>
      </c>
      <c r="N21" s="29">
        <f>SUM(L$14:L21)</f>
        <v>59458.437568536538</v>
      </c>
      <c r="O21" s="29">
        <f>SUM(M$14:M21)</f>
        <v>76549.035829202679</v>
      </c>
      <c r="P21" s="29">
        <f t="shared" si="9"/>
        <v>17090.598260666142</v>
      </c>
      <c r="Q21" s="30">
        <f t="shared" si="10"/>
        <v>0.28743772893403319</v>
      </c>
      <c r="R21" s="30">
        <f t="shared" si="13"/>
        <v>3.6752702292268458E-2</v>
      </c>
      <c r="S21" s="38"/>
      <c r="T21" s="9"/>
      <c r="U21" s="7">
        <v>16</v>
      </c>
      <c r="V21" s="9">
        <f t="shared" si="3"/>
        <v>273.54267311000001</v>
      </c>
      <c r="W21" s="9">
        <f t="shared" si="4"/>
        <v>44.970415459283998</v>
      </c>
      <c r="X21" s="9">
        <f t="shared" si="5"/>
        <v>111.08472663947887</v>
      </c>
      <c r="Y21" s="9">
        <f t="shared" si="6"/>
        <v>117.48753101123714</v>
      </c>
    </row>
    <row r="22" spans="1:25" x14ac:dyDescent="0.35">
      <c r="A22" s="38"/>
      <c r="B22" s="17" t="s">
        <v>10</v>
      </c>
      <c r="C22" s="23">
        <v>0.16439999999999999</v>
      </c>
      <c r="D22" s="39"/>
      <c r="E22" s="23"/>
      <c r="F22" s="11">
        <f>IF(D22=0,C22,D22)</f>
        <v>0.16439999999999999</v>
      </c>
      <c r="G22" s="9"/>
      <c r="H22" s="38"/>
      <c r="I22" s="28">
        <v>8</v>
      </c>
      <c r="J22" s="29">
        <f t="shared" si="11"/>
        <v>7058.4543664700432</v>
      </c>
      <c r="K22" s="29">
        <f t="shared" si="12"/>
        <v>13275.172103967947</v>
      </c>
      <c r="L22" s="29">
        <f t="shared" si="7"/>
        <v>4464.3124068059151</v>
      </c>
      <c r="M22" s="29">
        <f t="shared" si="8"/>
        <v>8640.1208443722498</v>
      </c>
      <c r="N22" s="29">
        <f>SUM(L$14:L22)</f>
        <v>63922.749975342449</v>
      </c>
      <c r="O22" s="29">
        <f>SUM(M$14:M22)</f>
        <v>85189.156673574937</v>
      </c>
      <c r="P22" s="29">
        <f t="shared" si="9"/>
        <v>21266.406698232488</v>
      </c>
      <c r="Q22" s="30">
        <f t="shared" si="10"/>
        <v>0.33268917101400969</v>
      </c>
      <c r="R22" s="30">
        <f t="shared" si="13"/>
        <v>3.6552035008202699E-2</v>
      </c>
      <c r="S22" s="38"/>
      <c r="T22" s="9"/>
      <c r="U22" s="7">
        <v>17</v>
      </c>
      <c r="V22" s="9">
        <f t="shared" si="3"/>
        <v>273.54267311000001</v>
      </c>
      <c r="W22" s="9">
        <f t="shared" si="4"/>
        <v>44.970415459283998</v>
      </c>
      <c r="X22" s="9">
        <f t="shared" si="5"/>
        <v>98.172580912989758</v>
      </c>
      <c r="Y22" s="9">
        <f t="shared" si="6"/>
        <v>130.39967673772625</v>
      </c>
    </row>
    <row r="23" spans="1:25" x14ac:dyDescent="0.35">
      <c r="A23" s="38"/>
      <c r="B23" s="17"/>
      <c r="C23" s="17"/>
      <c r="D23" s="17"/>
      <c r="E23" s="17"/>
      <c r="G23" s="9"/>
      <c r="H23" s="38"/>
      <c r="I23" s="28">
        <v>9</v>
      </c>
      <c r="J23" s="29">
        <f t="shared" si="11"/>
        <v>7058.4543664700432</v>
      </c>
      <c r="K23" s="29">
        <f t="shared" si="12"/>
        <v>13275.172103967947</v>
      </c>
      <c r="L23" s="29">
        <f t="shared" si="7"/>
        <v>4215.8504753165316</v>
      </c>
      <c r="M23" s="29">
        <f t="shared" si="8"/>
        <v>8159.2537101587777</v>
      </c>
      <c r="N23" s="29">
        <f>SUM(L$14:L23)</f>
        <v>68138.600450658982</v>
      </c>
      <c r="O23" s="29">
        <f>SUM(M$14:M23)</f>
        <v>93348.410383733717</v>
      </c>
      <c r="P23" s="29">
        <f t="shared" si="9"/>
        <v>25209.809933074735</v>
      </c>
      <c r="Q23" s="30">
        <f t="shared" si="10"/>
        <v>0.36997839354405065</v>
      </c>
      <c r="R23" s="30">
        <f t="shared" si="13"/>
        <v>3.5596116337297534E-2</v>
      </c>
      <c r="S23" s="38"/>
      <c r="T23" s="9"/>
      <c r="U23" s="7">
        <v>18</v>
      </c>
      <c r="V23" s="9">
        <f t="shared" si="3"/>
        <v>273.54267311000001</v>
      </c>
      <c r="W23" s="9">
        <f t="shared" si="4"/>
        <v>44.970415459283998</v>
      </c>
      <c r="X23" s="9">
        <f t="shared" si="5"/>
        <v>108.96196988204406</v>
      </c>
      <c r="Y23" s="9">
        <f t="shared" si="6"/>
        <v>119.61028776867195</v>
      </c>
    </row>
    <row r="24" spans="1:25" x14ac:dyDescent="0.35">
      <c r="A24" s="17"/>
      <c r="B24" s="31" t="s">
        <v>11</v>
      </c>
      <c r="C24" s="17"/>
      <c r="D24" s="17"/>
      <c r="E24" s="17"/>
      <c r="H24" s="17"/>
      <c r="I24" s="28">
        <v>10</v>
      </c>
      <c r="J24" s="29">
        <f t="shared" si="11"/>
        <v>7058.4543664700432</v>
      </c>
      <c r="K24" s="29">
        <f t="shared" si="12"/>
        <v>13275.172103967947</v>
      </c>
      <c r="L24" s="29">
        <f t="shared" si="7"/>
        <v>3981.2167273801915</v>
      </c>
      <c r="M24" s="29">
        <f t="shared" si="8"/>
        <v>7705.1493035658677</v>
      </c>
      <c r="N24" s="29">
        <f>SUM(L$14:L24)</f>
        <v>72119.817178039171</v>
      </c>
      <c r="O24" s="29">
        <f>SUM(M$14:M24)</f>
        <v>101053.55968729958</v>
      </c>
      <c r="P24" s="29">
        <f t="shared" si="9"/>
        <v>28933.74250926041</v>
      </c>
      <c r="Q24" s="30">
        <f t="shared" si="10"/>
        <v>0.4011899037102783</v>
      </c>
      <c r="R24" s="30">
        <f t="shared" si="13"/>
        <v>3.4307562088645938E-2</v>
      </c>
      <c r="S24" s="17"/>
      <c r="U24" s="7">
        <v>19</v>
      </c>
      <c r="V24" s="9">
        <f t="shared" si="3"/>
        <v>273.54267311000001</v>
      </c>
      <c r="W24" s="9">
        <f t="shared" si="4"/>
        <v>44.970415459283998</v>
      </c>
      <c r="X24" s="9">
        <f t="shared" si="5"/>
        <v>99.946356459502283</v>
      </c>
      <c r="Y24" s="9">
        <f t="shared" si="6"/>
        <v>128.62590119121373</v>
      </c>
    </row>
    <row r="25" spans="1:25" x14ac:dyDescent="0.35">
      <c r="A25" s="17"/>
      <c r="B25" s="17" t="s">
        <v>12</v>
      </c>
      <c r="C25" s="26">
        <v>1.5</v>
      </c>
      <c r="D25" s="42"/>
      <c r="E25" s="26"/>
      <c r="F25" s="9">
        <f>IF(D25=0,C25,D25)</f>
        <v>1.5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7">
        <v>20</v>
      </c>
      <c r="V25" s="9">
        <f t="shared" si="3"/>
        <v>273.54267311000001</v>
      </c>
      <c r="W25" s="9">
        <f t="shared" si="4"/>
        <v>44.970415459283998</v>
      </c>
      <c r="X25" s="9">
        <f t="shared" si="5"/>
        <v>107.4798030353782</v>
      </c>
      <c r="Y25" s="9">
        <f t="shared" si="6"/>
        <v>121.09245461533781</v>
      </c>
    </row>
    <row r="26" spans="1:25" x14ac:dyDescent="0.35">
      <c r="A26" s="17"/>
      <c r="B26" s="17" t="s">
        <v>13</v>
      </c>
      <c r="C26" s="26">
        <v>2</v>
      </c>
      <c r="D26" s="17"/>
      <c r="E26" s="26"/>
      <c r="F26" s="9">
        <f>C26</f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7">
        <v>21</v>
      </c>
      <c r="V26" s="9">
        <f t="shared" si="3"/>
        <v>273.54267311000001</v>
      </c>
      <c r="W26" s="9">
        <f t="shared" si="4"/>
        <v>44.970415459283998</v>
      </c>
      <c r="X26" s="9">
        <f t="shared" si="5"/>
        <v>101.18485507657628</v>
      </c>
      <c r="Y26" s="9">
        <f t="shared" si="6"/>
        <v>127.38740257413971</v>
      </c>
    </row>
    <row r="27" spans="1:25" x14ac:dyDescent="0.35">
      <c r="A27" s="17"/>
      <c r="B27" s="17" t="s">
        <v>14</v>
      </c>
      <c r="C27" s="26">
        <v>0.75</v>
      </c>
      <c r="D27" s="42"/>
      <c r="E27" s="26"/>
      <c r="F27" s="9">
        <f>IF(D27=0,C27,D27)</f>
        <v>0.75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7">
        <v>22</v>
      </c>
      <c r="V27" s="9">
        <f t="shared" si="3"/>
        <v>273.54267310999995</v>
      </c>
      <c r="W27" s="9">
        <f t="shared" si="4"/>
        <v>44.970415459283998</v>
      </c>
      <c r="X27" s="9">
        <f t="shared" si="5"/>
        <v>106.44491359095115</v>
      </c>
      <c r="Y27" s="9">
        <f t="shared" si="6"/>
        <v>122.12734405976484</v>
      </c>
    </row>
    <row r="28" spans="1:25" x14ac:dyDescent="0.35">
      <c r="A28" s="17"/>
      <c r="B28" s="17"/>
      <c r="C28" s="17"/>
      <c r="D28" s="17"/>
      <c r="E28" s="1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7">
        <v>23</v>
      </c>
      <c r="V28" s="9">
        <f t="shared" si="3"/>
        <v>273.54267311000001</v>
      </c>
      <c r="W28" s="9">
        <f t="shared" si="4"/>
        <v>44.970415459283991</v>
      </c>
      <c r="X28" s="9">
        <f t="shared" si="5"/>
        <v>102.0496086963395</v>
      </c>
      <c r="Y28" s="9">
        <f t="shared" si="6"/>
        <v>126.52264895437648</v>
      </c>
    </row>
    <row r="29" spans="1:25" x14ac:dyDescent="0.35">
      <c r="A29" s="17"/>
      <c r="B29" s="31" t="s">
        <v>23</v>
      </c>
      <c r="C29" s="17"/>
      <c r="D29" s="17"/>
      <c r="E29" s="17"/>
      <c r="U29" s="7">
        <v>24</v>
      </c>
      <c r="V29" s="9">
        <f t="shared" si="3"/>
        <v>273.54267311000001</v>
      </c>
      <c r="W29" s="9">
        <f t="shared" si="4"/>
        <v>44.970415459283998</v>
      </c>
      <c r="X29" s="9">
        <f t="shared" si="5"/>
        <v>105.72232546627698</v>
      </c>
      <c r="Y29" s="9">
        <f t="shared" si="6"/>
        <v>122.849932184439</v>
      </c>
    </row>
    <row r="30" spans="1:25" x14ac:dyDescent="0.35">
      <c r="A30" s="17"/>
      <c r="B30" s="17" t="s">
        <v>57</v>
      </c>
      <c r="C30" s="23">
        <v>2.0899999999999998E-2</v>
      </c>
      <c r="D30" s="39"/>
      <c r="E30" s="23"/>
      <c r="F30" s="11">
        <f>IF(D30=0,C30,D30)</f>
        <v>2.0899999999999998E-2</v>
      </c>
      <c r="U30" s="7">
        <v>25</v>
      </c>
      <c r="V30" s="9">
        <f t="shared" si="3"/>
        <v>273.54267311000001</v>
      </c>
      <c r="W30" s="9">
        <f t="shared" si="4"/>
        <v>44.970415459283998</v>
      </c>
      <c r="X30" s="9">
        <f t="shared" si="5"/>
        <v>102.65340333331723</v>
      </c>
      <c r="Y30" s="9">
        <f t="shared" si="6"/>
        <v>125.91885431739877</v>
      </c>
    </row>
    <row r="31" spans="1:25" x14ac:dyDescent="0.35">
      <c r="A31" s="17"/>
      <c r="B31" s="17" t="s">
        <v>24</v>
      </c>
      <c r="C31" s="26">
        <v>2.6208060658000001</v>
      </c>
      <c r="D31" s="42"/>
      <c r="E31" s="26"/>
      <c r="F31" s="9">
        <f>IF(D31=0,C31,D31)</f>
        <v>2.6208060658000001</v>
      </c>
      <c r="U31" s="7">
        <v>26</v>
      </c>
      <c r="V31" s="9">
        <f t="shared" si="3"/>
        <v>273.54267311000001</v>
      </c>
      <c r="W31" s="9">
        <f t="shared" si="4"/>
        <v>44.970415459283998</v>
      </c>
      <c r="X31" s="9">
        <f t="shared" si="5"/>
        <v>105.21779466761841</v>
      </c>
      <c r="Y31" s="9">
        <f t="shared" si="6"/>
        <v>123.3544629830976</v>
      </c>
    </row>
    <row r="32" spans="1:25" x14ac:dyDescent="0.35">
      <c r="A32" s="17"/>
      <c r="B32" s="17" t="s">
        <v>25</v>
      </c>
      <c r="C32" s="38">
        <v>0.68478459999999997</v>
      </c>
      <c r="D32" s="44"/>
      <c r="E32" s="23"/>
      <c r="F32" s="11">
        <f>IF(D32=0,C32,D32)</f>
        <v>0.68478459999999997</v>
      </c>
      <c r="U32" s="7">
        <v>27</v>
      </c>
      <c r="V32" s="9">
        <f t="shared" si="3"/>
        <v>273.54267311000001</v>
      </c>
      <c r="W32" s="9">
        <f t="shared" si="4"/>
        <v>44.970415459283998</v>
      </c>
      <c r="X32" s="9">
        <f t="shared" si="5"/>
        <v>103.07498926867636</v>
      </c>
      <c r="Y32" s="9">
        <f t="shared" ref="Y32:Y75" si="14">(W31+X31)*(1-$F$22)</f>
        <v>125.49726838203964</v>
      </c>
    </row>
    <row r="33" spans="1:25" x14ac:dyDescent="0.35">
      <c r="A33" s="17"/>
      <c r="B33" s="17"/>
      <c r="C33" s="17"/>
      <c r="D33" s="17"/>
      <c r="E33" s="17"/>
      <c r="U33" s="7">
        <v>28</v>
      </c>
      <c r="V33" s="9">
        <f t="shared" si="3"/>
        <v>273.54267311000001</v>
      </c>
      <c r="W33" s="9">
        <f t="shared" si="4"/>
        <v>44.970415459283998</v>
      </c>
      <c r="X33" s="9">
        <f t="shared" si="5"/>
        <v>104.86551746003232</v>
      </c>
      <c r="Y33" s="9">
        <f t="shared" si="14"/>
        <v>123.70674019068369</v>
      </c>
    </row>
    <row r="34" spans="1:25" x14ac:dyDescent="0.35">
      <c r="A34" s="17"/>
      <c r="B34" s="31" t="s">
        <v>52</v>
      </c>
      <c r="C34" s="17"/>
      <c r="D34" s="17"/>
      <c r="E34" s="17"/>
      <c r="U34" s="7">
        <v>29</v>
      </c>
      <c r="V34" s="9">
        <f t="shared" si="3"/>
        <v>273.54267311000001</v>
      </c>
      <c r="W34" s="9">
        <f t="shared" si="4"/>
        <v>44.970415459283998</v>
      </c>
      <c r="X34" s="9">
        <f t="shared" si="5"/>
        <v>103.36935210333529</v>
      </c>
      <c r="Y34" s="9">
        <f t="shared" si="14"/>
        <v>125.20290554738072</v>
      </c>
    </row>
    <row r="35" spans="1:25" x14ac:dyDescent="0.35">
      <c r="A35" s="17"/>
      <c r="B35" s="17" t="s">
        <v>32</v>
      </c>
      <c r="C35" s="23">
        <v>5.8935185899999999E-2</v>
      </c>
      <c r="D35" s="39"/>
      <c r="E35" s="23"/>
      <c r="F35" s="11">
        <f>IF(D35=0,C35,D35)</f>
        <v>5.8935185899999999E-2</v>
      </c>
      <c r="U35" s="7">
        <v>30</v>
      </c>
      <c r="V35" s="9">
        <f t="shared" si="3"/>
        <v>273.54267311000001</v>
      </c>
      <c r="W35" s="9">
        <f t="shared" si="4"/>
        <v>44.970415459283998</v>
      </c>
      <c r="X35" s="9">
        <f t="shared" si="5"/>
        <v>104.61954787539133</v>
      </c>
      <c r="Y35" s="9">
        <f t="shared" si="14"/>
        <v>123.95270977532466</v>
      </c>
    </row>
    <row r="36" spans="1:25" x14ac:dyDescent="0.35">
      <c r="A36" s="17"/>
      <c r="B36" s="17"/>
      <c r="C36" s="17"/>
      <c r="D36" s="17"/>
      <c r="E36" s="17"/>
      <c r="U36" s="7">
        <v>31</v>
      </c>
      <c r="V36" s="9">
        <f t="shared" si="3"/>
        <v>273.54267311000001</v>
      </c>
      <c r="W36" s="9">
        <f t="shared" si="4"/>
        <v>44.970415459283998</v>
      </c>
      <c r="X36" s="9">
        <f t="shared" si="5"/>
        <v>103.57488428826129</v>
      </c>
      <c r="Y36" s="9">
        <f t="shared" si="14"/>
        <v>124.99737336245471</v>
      </c>
    </row>
    <row r="37" spans="1:25" x14ac:dyDescent="0.35">
      <c r="U37" s="7">
        <v>32</v>
      </c>
      <c r="V37" s="9">
        <f t="shared" si="3"/>
        <v>273.54267311000001</v>
      </c>
      <c r="W37" s="9">
        <f t="shared" si="4"/>
        <v>44.970415459283998</v>
      </c>
      <c r="X37" s="9">
        <f t="shared" si="5"/>
        <v>104.44780518166715</v>
      </c>
      <c r="Y37" s="9">
        <f t="shared" si="14"/>
        <v>124.12445246904885</v>
      </c>
    </row>
    <row r="38" spans="1:25" ht="34" customHeight="1" x14ac:dyDescent="0.35">
      <c r="A38" s="49" t="s">
        <v>62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U38" s="7">
        <v>33</v>
      </c>
      <c r="V38" s="9">
        <f t="shared" si="3"/>
        <v>273.54267311000001</v>
      </c>
      <c r="W38" s="9">
        <f t="shared" si="4"/>
        <v>44.970415459283998</v>
      </c>
      <c r="X38" s="9">
        <f t="shared" si="5"/>
        <v>103.71839248313722</v>
      </c>
      <c r="Y38" s="9">
        <f t="shared" si="14"/>
        <v>124.85386516757877</v>
      </c>
    </row>
    <row r="39" spans="1:25" x14ac:dyDescent="0.35">
      <c r="U39" s="7">
        <v>34</v>
      </c>
      <c r="V39" s="9">
        <f t="shared" si="3"/>
        <v>273.54267311000001</v>
      </c>
      <c r="W39" s="9">
        <f t="shared" si="4"/>
        <v>44.970415459283998</v>
      </c>
      <c r="X39" s="9">
        <f t="shared" si="5"/>
        <v>104.32788973402883</v>
      </c>
      <c r="Y39" s="9">
        <f t="shared" si="14"/>
        <v>124.24436791668717</v>
      </c>
    </row>
    <row r="40" spans="1:25" x14ac:dyDescent="0.35">
      <c r="U40" s="7">
        <v>35</v>
      </c>
      <c r="V40" s="9">
        <f t="shared" si="3"/>
        <v>273.54267311000001</v>
      </c>
      <c r="W40" s="9">
        <f t="shared" si="4"/>
        <v>44.970415459283998</v>
      </c>
      <c r="X40" s="9">
        <f t="shared" si="5"/>
        <v>103.8185938311838</v>
      </c>
      <c r="Y40" s="9">
        <f t="shared" si="14"/>
        <v>124.75366381953221</v>
      </c>
    </row>
    <row r="41" spans="1:25" x14ac:dyDescent="0.35">
      <c r="U41" s="7">
        <v>36</v>
      </c>
      <c r="V41" s="9">
        <f t="shared" si="3"/>
        <v>273.54267311000001</v>
      </c>
      <c r="W41" s="9">
        <f t="shared" si="4"/>
        <v>44.970415459283998</v>
      </c>
      <c r="X41" s="9">
        <f t="shared" si="5"/>
        <v>104.24416148760112</v>
      </c>
      <c r="Y41" s="9">
        <f t="shared" si="14"/>
        <v>124.32809616311488</v>
      </c>
    </row>
    <row r="42" spans="1:25" x14ac:dyDescent="0.35">
      <c r="U42" s="7">
        <v>37</v>
      </c>
      <c r="V42" s="9">
        <f t="shared" si="3"/>
        <v>273.54267311000001</v>
      </c>
      <c r="W42" s="9">
        <f t="shared" si="4"/>
        <v>44.970415459283998</v>
      </c>
      <c r="X42" s="9">
        <f t="shared" si="5"/>
        <v>103.88855715389879</v>
      </c>
      <c r="Y42" s="9">
        <f t="shared" si="14"/>
        <v>124.68370049681722</v>
      </c>
    </row>
    <row r="43" spans="1:25" x14ac:dyDescent="0.35">
      <c r="U43" s="7">
        <v>38</v>
      </c>
      <c r="V43" s="9">
        <f t="shared" si="3"/>
        <v>273.54267311000001</v>
      </c>
      <c r="W43" s="9">
        <f t="shared" si="4"/>
        <v>44.970415459283998</v>
      </c>
      <c r="X43" s="9">
        <f t="shared" si="5"/>
        <v>104.18570013514048</v>
      </c>
      <c r="Y43" s="9">
        <f t="shared" si="14"/>
        <v>124.38655751557555</v>
      </c>
    </row>
    <row r="44" spans="1:25" x14ac:dyDescent="0.35">
      <c r="U44" s="7">
        <v>39</v>
      </c>
      <c r="V44" s="9">
        <f t="shared" si="3"/>
        <v>273.54267311000001</v>
      </c>
      <c r="W44" s="9">
        <f t="shared" si="4"/>
        <v>44.970415459283998</v>
      </c>
      <c r="X44" s="9">
        <f t="shared" si="5"/>
        <v>103.93740746001492</v>
      </c>
      <c r="Y44" s="9">
        <f t="shared" si="14"/>
        <v>124.6348501907011</v>
      </c>
    </row>
    <row r="45" spans="1:25" x14ac:dyDescent="0.35">
      <c r="U45" s="7">
        <v>40</v>
      </c>
      <c r="V45" s="9">
        <f t="shared" si="3"/>
        <v>273.54267311000001</v>
      </c>
      <c r="W45" s="9">
        <f t="shared" si="4"/>
        <v>44.970415459283998</v>
      </c>
      <c r="X45" s="9">
        <f t="shared" si="5"/>
        <v>104.14488081934984</v>
      </c>
      <c r="Y45" s="9">
        <f t="shared" si="14"/>
        <v>124.42737683136617</v>
      </c>
    </row>
    <row r="46" spans="1:25" x14ac:dyDescent="0.35">
      <c r="U46" s="7">
        <v>41</v>
      </c>
      <c r="V46" s="9">
        <f t="shared" si="3"/>
        <v>273.54267311000001</v>
      </c>
      <c r="W46" s="9">
        <f t="shared" si="4"/>
        <v>44.970415459283998</v>
      </c>
      <c r="X46" s="9">
        <f t="shared" si="5"/>
        <v>103.97151608028958</v>
      </c>
      <c r="Y46" s="9">
        <f t="shared" si="14"/>
        <v>124.60074157042642</v>
      </c>
    </row>
    <row r="47" spans="1:25" x14ac:dyDescent="0.35">
      <c r="U47" s="7">
        <v>42</v>
      </c>
      <c r="V47" s="9">
        <f t="shared" si="3"/>
        <v>273.54267311000001</v>
      </c>
      <c r="W47" s="9">
        <f t="shared" si="4"/>
        <v>44.970415459283998</v>
      </c>
      <c r="X47" s="9">
        <f t="shared" si="5"/>
        <v>104.11637965624831</v>
      </c>
      <c r="Y47" s="9">
        <f t="shared" si="14"/>
        <v>124.45587799446768</v>
      </c>
    </row>
    <row r="48" spans="1:25" x14ac:dyDescent="0.35">
      <c r="U48" s="7">
        <v>43</v>
      </c>
      <c r="V48" s="9">
        <f t="shared" si="3"/>
        <v>273.54267311000001</v>
      </c>
      <c r="W48" s="9">
        <f t="shared" si="4"/>
        <v>44.970415459283998</v>
      </c>
      <c r="X48" s="9">
        <f t="shared" si="5"/>
        <v>103.9953316521772</v>
      </c>
      <c r="Y48" s="9">
        <f t="shared" si="14"/>
        <v>124.5769259985388</v>
      </c>
    </row>
    <row r="49" spans="21:25" x14ac:dyDescent="0.35">
      <c r="U49" s="7">
        <v>44</v>
      </c>
      <c r="V49" s="9">
        <f t="shared" si="3"/>
        <v>273.54267311000001</v>
      </c>
      <c r="W49" s="9">
        <f t="shared" si="4"/>
        <v>44.970415459283998</v>
      </c>
      <c r="X49" s="9">
        <f t="shared" si="5"/>
        <v>104.09647936437902</v>
      </c>
      <c r="Y49" s="9">
        <f t="shared" si="14"/>
        <v>124.47577828633699</v>
      </c>
    </row>
    <row r="50" spans="21:25" x14ac:dyDescent="0.35">
      <c r="U50" s="7">
        <v>45</v>
      </c>
      <c r="V50" s="9">
        <f t="shared" si="3"/>
        <v>273.54267311000001</v>
      </c>
      <c r="W50" s="9">
        <f t="shared" si="4"/>
        <v>44.970415459283998</v>
      </c>
      <c r="X50" s="9">
        <f t="shared" si="5"/>
        <v>104.01196033606318</v>
      </c>
      <c r="Y50" s="9">
        <f t="shared" si="14"/>
        <v>124.56029731465281</v>
      </c>
    </row>
    <row r="51" spans="21:25" x14ac:dyDescent="0.35">
      <c r="U51" s="7">
        <v>46</v>
      </c>
      <c r="V51" s="9">
        <f t="shared" si="3"/>
        <v>273.54267311000001</v>
      </c>
      <c r="W51" s="9">
        <f t="shared" si="4"/>
        <v>44.970415459283998</v>
      </c>
      <c r="X51" s="9">
        <f t="shared" si="5"/>
        <v>104.08258443612389</v>
      </c>
      <c r="Y51" s="9">
        <f t="shared" si="14"/>
        <v>124.48967321459212</v>
      </c>
    </row>
    <row r="52" spans="21:25" x14ac:dyDescent="0.35">
      <c r="U52" s="7">
        <v>47</v>
      </c>
      <c r="V52" s="9">
        <f t="shared" si="3"/>
        <v>273.54267311000001</v>
      </c>
      <c r="W52" s="9">
        <f t="shared" si="4"/>
        <v>44.970415459283998</v>
      </c>
      <c r="X52" s="9">
        <f t="shared" si="5"/>
        <v>104.02357093811317</v>
      </c>
      <c r="Y52" s="9">
        <f t="shared" si="14"/>
        <v>124.54868671260283</v>
      </c>
    </row>
    <row r="53" spans="21:25" x14ac:dyDescent="0.35">
      <c r="U53" s="7">
        <v>48</v>
      </c>
      <c r="V53" s="9">
        <f t="shared" si="3"/>
        <v>273.54267311000001</v>
      </c>
      <c r="W53" s="9">
        <f t="shared" si="4"/>
        <v>44.970415459283998</v>
      </c>
      <c r="X53" s="9">
        <f t="shared" si="5"/>
        <v>104.07288261705092</v>
      </c>
      <c r="Y53" s="9">
        <f t="shared" si="14"/>
        <v>124.49937503366509</v>
      </c>
    </row>
    <row r="54" spans="21:25" x14ac:dyDescent="0.35">
      <c r="U54" s="7">
        <v>49</v>
      </c>
      <c r="V54" s="9">
        <f t="shared" si="3"/>
        <v>273.54267311000001</v>
      </c>
      <c r="W54" s="9">
        <f t="shared" si="4"/>
        <v>44.970415459283998</v>
      </c>
      <c r="X54" s="9">
        <f t="shared" si="5"/>
        <v>104.03167777813054</v>
      </c>
      <c r="Y54" s="9">
        <f t="shared" si="14"/>
        <v>124.54057987258545</v>
      </c>
    </row>
    <row r="55" spans="21:25" x14ac:dyDescent="0.35">
      <c r="U55" s="7">
        <v>50</v>
      </c>
      <c r="V55" s="9">
        <f t="shared" si="3"/>
        <v>273.54267311000001</v>
      </c>
      <c r="W55" s="9">
        <f t="shared" si="4"/>
        <v>44.970415459283998</v>
      </c>
      <c r="X55" s="9">
        <f t="shared" si="5"/>
        <v>104.0661085415324</v>
      </c>
      <c r="Y55" s="9">
        <f t="shared" si="14"/>
        <v>124.50614910918361</v>
      </c>
    </row>
    <row r="56" spans="21:25" x14ac:dyDescent="0.35">
      <c r="U56" s="7">
        <v>51</v>
      </c>
      <c r="V56" s="9">
        <f t="shared" si="3"/>
        <v>273.54267311000001</v>
      </c>
      <c r="W56" s="9">
        <f t="shared" si="4"/>
        <v>44.970415459283998</v>
      </c>
      <c r="X56" s="9">
        <f t="shared" si="5"/>
        <v>104.03733819563382</v>
      </c>
      <c r="Y56" s="9">
        <f t="shared" si="14"/>
        <v>124.53491945508219</v>
      </c>
    </row>
    <row r="57" spans="21:25" x14ac:dyDescent="0.35">
      <c r="U57" s="7">
        <v>52</v>
      </c>
      <c r="V57" s="9">
        <f t="shared" si="3"/>
        <v>273.54267311000001</v>
      </c>
      <c r="W57" s="9">
        <f t="shared" si="4"/>
        <v>44.970415459283998</v>
      </c>
      <c r="X57" s="9">
        <f t="shared" si="5"/>
        <v>104.06137869666668</v>
      </c>
      <c r="Y57" s="9">
        <f t="shared" si="14"/>
        <v>124.51087895404933</v>
      </c>
    </row>
    <row r="58" spans="21:25" x14ac:dyDescent="0.35">
      <c r="U58" s="7">
        <v>53</v>
      </c>
      <c r="V58" s="9">
        <f t="shared" si="3"/>
        <v>273.54267311000001</v>
      </c>
      <c r="W58" s="9">
        <f t="shared" si="4"/>
        <v>44.970415459283998</v>
      </c>
      <c r="X58" s="9">
        <f t="shared" si="5"/>
        <v>104.04129045400363</v>
      </c>
      <c r="Y58" s="9">
        <f t="shared" si="14"/>
        <v>124.53096719671238</v>
      </c>
    </row>
    <row r="59" spans="21:25" x14ac:dyDescent="0.35">
      <c r="U59" s="7">
        <v>54</v>
      </c>
      <c r="V59" s="9">
        <f t="shared" si="3"/>
        <v>273.54267311000001</v>
      </c>
      <c r="W59" s="9">
        <f t="shared" si="4"/>
        <v>44.970415459283998</v>
      </c>
      <c r="X59" s="9">
        <f t="shared" si="5"/>
        <v>104.05807618957287</v>
      </c>
      <c r="Y59" s="9">
        <f t="shared" si="14"/>
        <v>124.51418146114315</v>
      </c>
    </row>
    <row r="60" spans="21:25" x14ac:dyDescent="0.35">
      <c r="U60" s="7">
        <v>55</v>
      </c>
      <c r="V60" s="9">
        <f t="shared" si="3"/>
        <v>273.54267311000001</v>
      </c>
      <c r="W60" s="9">
        <f t="shared" si="4"/>
        <v>44.970415459283998</v>
      </c>
      <c r="X60" s="9">
        <f t="shared" si="5"/>
        <v>104.04405002893122</v>
      </c>
      <c r="Y60" s="9">
        <f t="shared" si="14"/>
        <v>124.52820762178479</v>
      </c>
    </row>
    <row r="61" spans="21:25" x14ac:dyDescent="0.35">
      <c r="U61" s="7">
        <v>56</v>
      </c>
      <c r="V61" s="9">
        <f t="shared" si="3"/>
        <v>273.54267311000001</v>
      </c>
      <c r="W61" s="9">
        <f t="shared" si="4"/>
        <v>44.970415459283998</v>
      </c>
      <c r="X61" s="9">
        <f t="shared" si="5"/>
        <v>104.05577028876337</v>
      </c>
      <c r="Y61" s="9">
        <f t="shared" si="14"/>
        <v>124.51648736195264</v>
      </c>
    </row>
    <row r="62" spans="21:25" x14ac:dyDescent="0.35">
      <c r="U62" s="7">
        <v>57</v>
      </c>
      <c r="V62" s="9">
        <f t="shared" si="3"/>
        <v>273.54267311000001</v>
      </c>
      <c r="W62" s="9">
        <f t="shared" si="4"/>
        <v>44.970415459283998</v>
      </c>
      <c r="X62" s="9">
        <f t="shared" si="5"/>
        <v>104.04597683964762</v>
      </c>
      <c r="Y62" s="9">
        <f t="shared" si="14"/>
        <v>124.52628081106837</v>
      </c>
    </row>
    <row r="63" spans="21:25" x14ac:dyDescent="0.35">
      <c r="U63" s="7">
        <v>58</v>
      </c>
      <c r="V63" s="9">
        <f t="shared" si="3"/>
        <v>273.54267311000001</v>
      </c>
      <c r="W63" s="9">
        <f t="shared" si="4"/>
        <v>44.970415459283998</v>
      </c>
      <c r="X63" s="9">
        <f t="shared" si="5"/>
        <v>104.05416024572874</v>
      </c>
      <c r="Y63" s="9">
        <f t="shared" si="14"/>
        <v>124.51809740498727</v>
      </c>
    </row>
    <row r="64" spans="21:25" x14ac:dyDescent="0.35">
      <c r="U64" s="7">
        <v>59</v>
      </c>
      <c r="V64" s="9">
        <f t="shared" si="3"/>
        <v>273.54267311000001</v>
      </c>
      <c r="W64" s="9">
        <f t="shared" si="4"/>
        <v>44.970415459283998</v>
      </c>
      <c r="X64" s="9">
        <f t="shared" si="5"/>
        <v>104.04732219160736</v>
      </c>
      <c r="Y64" s="9">
        <f t="shared" si="14"/>
        <v>124.52493545910866</v>
      </c>
    </row>
    <row r="65" spans="21:25" x14ac:dyDescent="0.35">
      <c r="U65" s="7">
        <v>60</v>
      </c>
      <c r="V65" s="9">
        <f t="shared" si="3"/>
        <v>273.54267311000001</v>
      </c>
      <c r="W65" s="9">
        <f t="shared" si="4"/>
        <v>44.970415459283998</v>
      </c>
      <c r="X65" s="9">
        <f t="shared" si="5"/>
        <v>104.0530360696312</v>
      </c>
      <c r="Y65" s="9">
        <f t="shared" si="14"/>
        <v>124.51922158108484</v>
      </c>
    </row>
    <row r="66" spans="21:25" x14ac:dyDescent="0.35">
      <c r="U66" s="7">
        <v>61</v>
      </c>
      <c r="V66" s="9">
        <f t="shared" si="3"/>
        <v>273.54267311000001</v>
      </c>
      <c r="W66" s="9">
        <f t="shared" si="4"/>
        <v>44.970415459283998</v>
      </c>
      <c r="X66" s="9">
        <f t="shared" si="5"/>
        <v>104.04826155315449</v>
      </c>
      <c r="Y66" s="9">
        <f t="shared" si="14"/>
        <v>124.52399609756154</v>
      </c>
    </row>
    <row r="67" spans="21:25" x14ac:dyDescent="0.35">
      <c r="U67" s="7">
        <v>62</v>
      </c>
      <c r="V67" s="9">
        <f t="shared" si="3"/>
        <v>273.54267311000001</v>
      </c>
      <c r="W67" s="9">
        <f t="shared" si="4"/>
        <v>44.970415459283998</v>
      </c>
      <c r="X67" s="9">
        <f t="shared" si="5"/>
        <v>104.05225113912242</v>
      </c>
      <c r="Y67" s="9">
        <f t="shared" si="14"/>
        <v>124.52000651159361</v>
      </c>
    </row>
    <row r="68" spans="21:25" x14ac:dyDescent="0.35">
      <c r="U68" s="7">
        <v>63</v>
      </c>
      <c r="V68" s="9">
        <f t="shared" si="3"/>
        <v>273.54267311000007</v>
      </c>
      <c r="W68" s="9">
        <f t="shared" si="4"/>
        <v>44.970415459283998</v>
      </c>
      <c r="X68" s="9">
        <f t="shared" si="5"/>
        <v>104.04891744108762</v>
      </c>
      <c r="Y68" s="9">
        <f t="shared" si="14"/>
        <v>124.52334020962842</v>
      </c>
    </row>
    <row r="69" spans="21:25" x14ac:dyDescent="0.35">
      <c r="U69" s="7">
        <v>64</v>
      </c>
      <c r="V69" s="9">
        <f t="shared" si="3"/>
        <v>273.54267311000007</v>
      </c>
      <c r="W69" s="9">
        <f t="shared" si="4"/>
        <v>44.970415459284006</v>
      </c>
      <c r="X69" s="9">
        <f t="shared" si="5"/>
        <v>104.05170307916551</v>
      </c>
      <c r="Y69" s="9">
        <f t="shared" si="14"/>
        <v>124.52055457155055</v>
      </c>
    </row>
    <row r="70" spans="21:25" x14ac:dyDescent="0.35">
      <c r="U70" s="7">
        <v>65</v>
      </c>
      <c r="V70" s="9">
        <f t="shared" si="3"/>
        <v>273.54267311000007</v>
      </c>
      <c r="W70" s="9">
        <f t="shared" si="4"/>
        <v>44.970415459284006</v>
      </c>
      <c r="X70" s="9">
        <f t="shared" si="5"/>
        <v>104.04937539998764</v>
      </c>
      <c r="Y70" s="9">
        <f t="shared" si="14"/>
        <v>124.52288225072841</v>
      </c>
    </row>
    <row r="71" spans="21:25" x14ac:dyDescent="0.35">
      <c r="U71" s="7">
        <v>66</v>
      </c>
      <c r="V71" s="9">
        <f t="shared" si="3"/>
        <v>273.54267311000007</v>
      </c>
      <c r="W71" s="9">
        <f t="shared" si="4"/>
        <v>44.970415459284006</v>
      </c>
      <c r="X71" s="9">
        <f t="shared" si="5"/>
        <v>104.05132040870866</v>
      </c>
      <c r="Y71" s="9">
        <f t="shared" si="14"/>
        <v>124.52093724200738</v>
      </c>
    </row>
    <row r="72" spans="21:25" x14ac:dyDescent="0.35">
      <c r="U72" s="7">
        <v>67</v>
      </c>
      <c r="V72" s="9">
        <f t="shared" ref="V72:V75" si="15">SUM(W72:Y72)</f>
        <v>273.54267311000001</v>
      </c>
      <c r="W72" s="9">
        <f t="shared" si="4"/>
        <v>44.970415459284006</v>
      </c>
      <c r="X72" s="9">
        <f t="shared" si="5"/>
        <v>104.04969515942136</v>
      </c>
      <c r="Y72" s="9">
        <f t="shared" si="14"/>
        <v>124.52256249129468</v>
      </c>
    </row>
    <row r="73" spans="21:25" x14ac:dyDescent="0.35">
      <c r="U73" s="7">
        <v>68</v>
      </c>
      <c r="V73" s="9">
        <f t="shared" si="15"/>
        <v>273.54267311000001</v>
      </c>
      <c r="W73" s="9">
        <f t="shared" si="4"/>
        <v>44.970415459283998</v>
      </c>
      <c r="X73" s="9">
        <f t="shared" si="5"/>
        <v>104.05105321772584</v>
      </c>
      <c r="Y73" s="9">
        <f t="shared" si="14"/>
        <v>124.5212044329902</v>
      </c>
    </row>
    <row r="74" spans="21:25" x14ac:dyDescent="0.35">
      <c r="U74" s="7">
        <v>69</v>
      </c>
      <c r="V74" s="9">
        <f t="shared" si="15"/>
        <v>273.54267311000001</v>
      </c>
      <c r="W74" s="9">
        <f t="shared" si="4"/>
        <v>44.970415459283998</v>
      </c>
      <c r="X74" s="9">
        <f t="shared" si="5"/>
        <v>104.04991842420661</v>
      </c>
      <c r="Y74" s="9">
        <f t="shared" si="14"/>
        <v>124.52233922650942</v>
      </c>
    </row>
    <row r="75" spans="21:25" x14ac:dyDescent="0.35">
      <c r="U75" s="7">
        <v>70</v>
      </c>
      <c r="V75" s="9">
        <f t="shared" si="15"/>
        <v>273.54267311000001</v>
      </c>
      <c r="W75" s="9">
        <f t="shared" si="4"/>
        <v>44.970415459283998</v>
      </c>
      <c r="X75" s="9">
        <f t="shared" si="5"/>
        <v>104.05086665767126</v>
      </c>
      <c r="Y75" s="9">
        <f t="shared" si="14"/>
        <v>124.52139099304475</v>
      </c>
    </row>
  </sheetData>
  <sheetProtection algorithmName="SHA-512" hashValue="+hBV7nJr6qm4+XEDJdXnIgltRvoDASNm4C2ZDkuO8BgUUGJCX3C+25Yw5SlLOt6J9lo9NwvqhCOYy2NKRpem9Q==" saltValue="9oODDxwOO4Aon5LAtw/dvg==" spinCount="100000" sheet="1" selectLockedCells="1"/>
  <mergeCells count="14">
    <mergeCell ref="A38:S38"/>
    <mergeCell ref="B18:B19"/>
    <mergeCell ref="C18:C19"/>
    <mergeCell ref="D18:D19"/>
    <mergeCell ref="F18:F19"/>
    <mergeCell ref="Q12:Q13"/>
    <mergeCell ref="R12:R13"/>
    <mergeCell ref="C6:D6"/>
    <mergeCell ref="I12:I13"/>
    <mergeCell ref="J12:J13"/>
    <mergeCell ref="K12:K13"/>
    <mergeCell ref="L12:M12"/>
    <mergeCell ref="N12:O12"/>
    <mergeCell ref="P12:P13"/>
  </mergeCells>
  <pageMargins left="0.7" right="0.7" top="0.75" bottom="0.75" header="0.3" footer="0.3"/>
  <pageSetup orientation="portrait" r:id="rId1"/>
  <ignoredErrors>
    <ignoredError sqref="AC10 F11 F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3" ma:contentTypeDescription="Create a new document." ma:contentTypeScope="" ma:versionID="8ff372e16b172c9b480c461b8e15cd2d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b8db4c8ea749c07cb732760f6fdaedff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71E45-155D-477D-A9CB-EE5C89AA7883}">
  <ds:schemaRefs>
    <ds:schemaRef ds:uri="c442bec3-5de2-4848-8046-1525657b99f6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fdc81ec3-f4f6-4609-b50f-04d22d16fef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9336C87-A27C-4DF3-A1CB-0971DC1BED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D5FE6-7D17-4304-9049-4B7FC9781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ROI</vt:lpstr>
    </vt:vector>
  </TitlesOfParts>
  <Company>ASPR TRACIE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Emergency Preparedness Information Modules for Nurses Return on Investment (EPIMN ROI)</dc:title>
  <dc:creator>ASPR TRACIE</dc:creator>
  <cp:keywords>ROI, return on investment</cp:keywords>
  <cp:lastModifiedBy>Nieratko, Jennifer</cp:lastModifiedBy>
  <dcterms:created xsi:type="dcterms:W3CDTF">2019-07-19T19:52:58Z</dcterms:created>
  <dcterms:modified xsi:type="dcterms:W3CDTF">2019-08-21T17:03:40Z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0x0101002B2DBCC8A5E7ED47A7D5CBE7407F1D48</vt:lpwstr>
  </property>
</Properties>
</file>